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00" windowHeight="7020" tabRatio="677" firstSheet="11" activeTab="11"/>
  </bookViews>
  <sheets>
    <sheet name="PROJE OZET BILGILERI" sheetId="37" state="hidden" r:id="rId1"/>
    <sheet name="ASSISTING ANALYSES " sheetId="34" state="hidden" r:id="rId2"/>
    <sheet name="MANPOWER" sheetId="35" state="hidden" r:id="rId3"/>
    <sheet name="reinforcement" sheetId="41" state="hidden" r:id="rId4"/>
    <sheet name="Sheet1" sheetId="38" state="hidden" r:id="rId5"/>
    <sheet name="fw" sheetId="44" state="hidden" r:id="rId6"/>
    <sheet name="EQUIPMENT &amp; PLANT RATES" sheetId="29" state="hidden" r:id="rId7"/>
    <sheet name="MATERIAL PRICE LIST" sheetId="28" state="hidden" r:id="rId8"/>
    <sheet name="LABOURSHIP RATES" sheetId="27" state="hidden" r:id="rId9"/>
    <sheet name="Calculation" sheetId="32" state="hidden" r:id="rId10"/>
    <sheet name="GENERAL EXPENSES (2)" sheetId="36" state="hidden" r:id="rId11"/>
    <sheet name="BOQ" sheetId="30" r:id="rId12"/>
    <sheet name="summary sheet" sheetId="42" state="hidden" r:id="rId13"/>
    <sheet name="LABOUR UNIT COST" sheetId="22" state="hidden" r:id="rId14"/>
    <sheet name="List Of Suppliers" sheetId="31" state="hidden" r:id="rId15"/>
    <sheet name="Sheet2" sheetId="43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p">#REF!</definedName>
    <definedName name="____IST1">[1]ISTDUV_KUR!$C$7:$H$30</definedName>
    <definedName name="____PEY1">[1]BRIM_ICMAL!$C$7:$I$28</definedName>
    <definedName name="____TEL1">[1]TELBAĞ_KUR!$C$7:$H$30</definedName>
    <definedName name="___IST1">[1]ISTDUV_KUR!$C$7:$H$30</definedName>
    <definedName name="___PEY1">[1]BRIM_ICMAL!$C$7:$I$28</definedName>
    <definedName name="___TEL1">[1]TELBAĞ_KUR!$C$7:$H$30</definedName>
    <definedName name="__IST1">[1]ISTDUV_KUR!$C$7:$H$30</definedName>
    <definedName name="__PEY1">[1]BRIM_ICMAL!$C$7:$I$28</definedName>
    <definedName name="__TEL1">[1]TELBAĞ_KUR!$C$7:$H$30</definedName>
    <definedName name="_xlnm._FilterDatabase" localSheetId="5" hidden="1">fw!#REF!</definedName>
    <definedName name="_xlnm._FilterDatabase" localSheetId="0" hidden="1">'PROJE OZET BILGILERI'!#REF!</definedName>
    <definedName name="_xlnm._FilterDatabase" localSheetId="3" hidden="1">reinforcement!$A$5:$X$111</definedName>
    <definedName name="_IST1" localSheetId="5">[1]ISTDUV_KUR!$C$7:$H$30</definedName>
    <definedName name="_IST1">[1]ISTDUV_KUR!$C$7:$H$30</definedName>
    <definedName name="_Order1" hidden="1">255</definedName>
    <definedName name="_PEY1" localSheetId="5">[1]BRIM_ICMAL!$C$7:$I$28</definedName>
    <definedName name="_PEY1">[1]BRIM_ICMAL!$C$7:$I$28</definedName>
    <definedName name="_TEL1" localSheetId="5">[1]TELBAĞ_KUR!$C$7:$H$30</definedName>
    <definedName name="_TEL1">[1]TELBAĞ_KUR!$C$7:$H$30</definedName>
    <definedName name="a" localSheetId="5">#REF!</definedName>
    <definedName name="a" localSheetId="0">#REF!</definedName>
    <definedName name="a">#REF!</definedName>
    <definedName name="A90XC">'[2]P&amp;D'!#REF!</definedName>
    <definedName name="A90XC96">'[2]P&amp;D'!#REF!</definedName>
    <definedName name="A90XF96">'[2]P&amp;D'!#REF!</definedName>
    <definedName name="aa" localSheetId="5">#REF!</definedName>
    <definedName name="aa" localSheetId="0">#REF!</definedName>
    <definedName name="aa" localSheetId="3">#REF!</definedName>
    <definedName name="AA">[3]demir!#REF!</definedName>
    <definedName name="AAA" localSheetId="5">[4]metin!#REF!</definedName>
    <definedName name="AAA" localSheetId="0">[4]metin!#REF!</definedName>
    <definedName name="AAA">[4]metin!#REF!</definedName>
    <definedName name="AAAA" localSheetId="5">[4]metin!#REF!</definedName>
    <definedName name="AAAA" localSheetId="0">[4]metin!#REF!</definedName>
    <definedName name="AAAA">[4]metin!#REF!</definedName>
    <definedName name="AAAAA">[5]eritme!$W$2:$AN$40</definedName>
    <definedName name="aaaaaaaaaa" localSheetId="5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aaaaaaaaa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aaaaaaaaa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b" localSheetId="5">#REF!</definedName>
    <definedName name="Ab" localSheetId="0">#REF!</definedName>
    <definedName name="Ab" localSheetId="3">#REF!</definedName>
    <definedName name="Ab">#REF!</definedName>
    <definedName name="Ahmet" localSheetId="5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hmet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hmet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Al" localSheetId="5">#REF!</definedName>
    <definedName name="Al" localSheetId="0">#REF!</definedName>
    <definedName name="Al" localSheetId="3">#REF!</definedName>
    <definedName name="Al">#REF!</definedName>
    <definedName name="Ali" localSheetId="5">fw!Ali</definedName>
    <definedName name="Ali" localSheetId="0">'PROJE OZET BILGILERI'!Ali</definedName>
    <definedName name="Ali">'PROJE OZET BILGILERI'!Ali</definedName>
    <definedName name="Alper" localSheetId="5">fw!Alper</definedName>
    <definedName name="Alper" localSheetId="0">'PROJE OZET BILGILERI'!Alper</definedName>
    <definedName name="Alper">'PROJE OZET BILGILERI'!Alper</definedName>
    <definedName name="Arsel" localSheetId="5">fw!Arsel</definedName>
    <definedName name="Arsel" localSheetId="0">'PROJE OZET BILGILERI'!Arsel</definedName>
    <definedName name="Arsel">'PROJE OZET BILGILERI'!Arsel</definedName>
    <definedName name="b" localSheetId="5">fw!b</definedName>
    <definedName name="b" localSheetId="0">'PROJE OZET BILGILERI'!b</definedName>
    <definedName name="b">'PROJE OZET BILGILERI'!b</definedName>
    <definedName name="B.F.İŞL." localSheetId="5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B.F.İŞL.İHZARAT" localSheetId="5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.F.İŞL.İHZARAT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.F.İŞL.İHZARAT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BB" localSheetId="5">#REF!</definedName>
    <definedName name="BB" localSheetId="0">#REF!</definedName>
    <definedName name="BB">#REF!</definedName>
    <definedName name="bbbbbbbbb" localSheetId="5">[3]demir!#REF!</definedName>
    <definedName name="bbbbbbbbb" localSheetId="0">[3]demir!#REF!</definedName>
    <definedName name="bbbbbbbbb">[3]demir!#REF!</definedName>
    <definedName name="BERK_TEKNİK_YAPI_LTD._ŞTİ." localSheetId="5">[6]makro!$B$6</definedName>
    <definedName name="BERK_TEKNİK_YAPI_LTD._ŞTİ.">[6]makro!$B$6</definedName>
    <definedName name="Cam_takıldığında" localSheetId="5">[7]Sayfa1!$E$29</definedName>
    <definedName name="Cam_takıldığında">[7]Sayfa1!$E$29</definedName>
    <definedName name="CC" localSheetId="5">#REF!</definedName>
    <definedName name="CC" localSheetId="0">#REF!</definedName>
    <definedName name="CC">#REF!</definedName>
    <definedName name="Celal" localSheetId="5">fw!Celal</definedName>
    <definedName name="Celal" localSheetId="0">'PROJE OZET BILGILERI'!Celal</definedName>
    <definedName name="Celal">'PROJE OZET BILGILERI'!Celal</definedName>
    <definedName name="ÇEVRE1" localSheetId="5">[1]yoca_kur!$C$7:$H$30</definedName>
    <definedName name="ÇEVRE1">[1]yoca_kur!$C$7:$H$30</definedName>
    <definedName name="D" localSheetId="5">fw!D</definedName>
    <definedName name="D" localSheetId="0">'PROJE OZET BILGILERI'!D</definedName>
    <definedName name="D">'PROJE OZET BILGILERI'!D</definedName>
    <definedName name="D.3" localSheetId="5">#REF!</definedName>
    <definedName name="D.3" localSheetId="0">#REF!</definedName>
    <definedName name="D.3" localSheetId="3">#REF!</definedName>
    <definedName name="D.3">#REF!</definedName>
    <definedName name="DARKA" localSheetId="5">'[8]METRAJ SAYFASI'!#REF!</definedName>
    <definedName name="DARKA" localSheetId="0">'[8]METRAJ SAYFASI'!#REF!</definedName>
    <definedName name="DARKA" localSheetId="3">#REF!</definedName>
    <definedName name="DARKA">#REF!</definedName>
    <definedName name="dfg" localSheetId="5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dfg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Do" localSheetId="5">#REF!</definedName>
    <definedName name="Do" localSheetId="0">#REF!</definedName>
    <definedName name="Do" localSheetId="3">#REF!</definedName>
    <definedName name="Do">#REF!</definedName>
    <definedName name="DÖSST" localSheetId="5">#REF!</definedName>
    <definedName name="DÖSST" localSheetId="0">#REF!</definedName>
    <definedName name="DÖSST" localSheetId="3">#REF!</definedName>
    <definedName name="DÖSST">#REF!</definedName>
    <definedName name="DRF" localSheetId="5">fw!DRF</definedName>
    <definedName name="DRF" localSheetId="0">'PROJE OZET BILGILERI'!DRF</definedName>
    <definedName name="DRF">'PROJE OZET BILGILERI'!DRF</definedName>
    <definedName name="duvartam" localSheetId="5">'[8]METRAJ SAYFASI'!#REF!</definedName>
    <definedName name="duvartam" localSheetId="0">'[8]METRAJ SAYFASI'!#REF!</definedName>
    <definedName name="duvartam" localSheetId="3">#REF!</definedName>
    <definedName name="duvartam">#REF!</definedName>
    <definedName name="duvaryap" localSheetId="5">'[8]METRAJ SAYFASI'!#REF!</definedName>
    <definedName name="duvaryap" localSheetId="0">'[8]METRAJ SAYFASI'!#REF!</definedName>
    <definedName name="duvaryap" localSheetId="3">#REF!</definedName>
    <definedName name="duvaryap">#REF!</definedName>
    <definedName name="E" localSheetId="5">[9]sıhhi!#REF!</definedName>
    <definedName name="E">[9]sıhhi!#REF!</definedName>
    <definedName name="elk_ihz_tut">[5]metin!$A$76:$A$158</definedName>
    <definedName name="Er" localSheetId="5">#REF!</definedName>
    <definedName name="Er" localSheetId="0">#REF!</definedName>
    <definedName name="Er" localSheetId="3">#REF!</definedName>
    <definedName name="Er">#REF!</definedName>
    <definedName name="EU" localSheetId="5">#REF!</definedName>
    <definedName name="EU" localSheetId="0">#REF!</definedName>
    <definedName name="EU">#REF!</definedName>
    <definedName name="EV" localSheetId="5">fw!EV</definedName>
    <definedName name="EV" localSheetId="0">'PROJE OZET BILGILERI'!EV</definedName>
    <definedName name="EV">'PROJE OZET BILGILERI'!EV</definedName>
    <definedName name="fayans_eritme">[5]eritme!$B$110:$S$140</definedName>
    <definedName name="FFFFFF" localSheetId="5">fw!FFFFFF</definedName>
    <definedName name="FFFFFF" localSheetId="0">'PROJE OZET BILGILERI'!FFFFFF</definedName>
    <definedName name="FFFFFF">'PROJE OZET BILGILERI'!FFFFFF</definedName>
    <definedName name="FG" localSheetId="5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FG" localSheetId="0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FG" hidden="1">{#N/A,#N/A,FALSE,"imalat_kesif";#N/A,#N/A,FALSE,"imalat_seviye";#N/A,#N/A,FALSE,"141";#N/A,#N/A,FALSE,"142";#N/A,#N/A,FALSE,"143";#N/A,#N/A,FALSE,"144";#N/A,#N/A,FALSE,"145";#N/A,#N/A,FALSE,"146";#N/A,#N/A,FALSE,"147";#N/A,#N/A,FALSE,"148";#N/A,#N/A,FALSE,"149"}</definedName>
    <definedName name="FİHRİST">[5]metin!$C$4:$D$50</definedName>
    <definedName name="ftr">'[10]P&amp;D'!#REF!</definedName>
    <definedName name="gaz_beton_eritme_1">[5]eritme!$B$2:$S$31</definedName>
    <definedName name="gaz_beton_eritme_2">[5]eritme!$B$40:$S$70</definedName>
    <definedName name="GGGGGGGGGGGGGGGGGGGGGGGGGGGGGGGGGGGGGG" localSheetId="5">fw!GGGGGGGGGGGGGGGGGGGGGGGGGGGGGGGGGGGGGG</definedName>
    <definedName name="GGGGGGGGGGGGGGGGGGGGGGGGGGGGGGGGGGGGGG" localSheetId="0">'PROJE OZET BILGILERI'!GGGGGGGGGGGGGGGGGGGGGGGGGGGGGGGGGGGGGG</definedName>
    <definedName name="GGGGGGGGGGGGGGGGGGGGGGGGGGGGGGGGGGGGGG">'PROJE OZET BILGILERI'!GGGGGGGGGGGGGGGGGGGGGGGGGGGGGGGGGGGGGG</definedName>
    <definedName name="gjhjjkl">'[11]P&amp;D'!#REF!</definedName>
    <definedName name="Gö" localSheetId="5">#REF!</definedName>
    <definedName name="Gö" localSheetId="0">#REF!</definedName>
    <definedName name="Gö" localSheetId="3">#REF!</definedName>
    <definedName name="Gö">#REF!</definedName>
    <definedName name="gtufygtt">'[11]P&amp;D'!#REF!</definedName>
    <definedName name="h" localSheetId="5">#REF!</definedName>
    <definedName name="h" localSheetId="0">#REF!</definedName>
    <definedName name="h" localSheetId="3">#REF!</definedName>
    <definedName name="h">'PROJE OZET BILGILERI'!h</definedName>
    <definedName name="HI" localSheetId="5">[12]demir!#REF!</definedName>
    <definedName name="HI" localSheetId="0">[12]demir!#REF!</definedName>
    <definedName name="HI">[12]demir!#REF!</definedName>
    <definedName name="HJ" localSheetId="5">fw!HJ</definedName>
    <definedName name="HJ" localSheetId="0">'PROJE OZET BILGILERI'!HJ</definedName>
    <definedName name="HJ">'PROJE OZET BILGILERI'!HJ</definedName>
    <definedName name="HK" localSheetId="5">[12]demir!#REF!</definedName>
    <definedName name="HK" localSheetId="0">[12]demir!#REF!</definedName>
    <definedName name="HK">[12]demir!#REF!</definedName>
    <definedName name="iadi">'[13]A '!$D$4</definedName>
    <definedName name="İb" localSheetId="5">#REF!</definedName>
    <definedName name="İb" localSheetId="0">#REF!</definedName>
    <definedName name="İb" localSheetId="3">#REF!</definedName>
    <definedName name="İb">#REF!</definedName>
    <definedName name="ihz.tutanak" localSheetId="5">[5]metin!#REF!</definedName>
    <definedName name="ihz.tutanak" localSheetId="0">[5]metin!#REF!</definedName>
    <definedName name="ihz.tutanak">[5]metin!#REF!</definedName>
    <definedName name="İKİTELLİ_KONUTLARI_2._ETAP_ORTAK_ALTYAPI_ve_YOL_İNŞAATI" localSheetId="5">[6]makro!$B$3</definedName>
    <definedName name="İKİTELLİ_KONUTLARI_2._ETAP_ORTAK_ALTYAPI_ve_YOL_İNŞAATI">[6]makro!$B$3</definedName>
    <definedName name="İLAN" localSheetId="5">[5]metin!#REF!</definedName>
    <definedName name="İLAN" localSheetId="0">[5]metin!#REF!</definedName>
    <definedName name="İLAN">[5]metin!#REF!</definedName>
    <definedName name="İLANTUT" localSheetId="5">[5]metin!#REF!</definedName>
    <definedName name="İLANTUT" localSheetId="0">[5]metin!#REF!</definedName>
    <definedName name="İLANTUT">[5]metin!#REF!</definedName>
    <definedName name="imalat">[14]imalat_icmal!$E$9:$I$111</definedName>
    <definedName name="iş" localSheetId="5">fw!iş</definedName>
    <definedName name="iş" localSheetId="0">'PROJE OZET BILGILERI'!iş</definedName>
    <definedName name="iş">'PROJE OZET BILGILERI'!iş</definedName>
    <definedName name="ISIKAN1" localSheetId="5">[1]TESKAN_KUR!$C$7:$H$30</definedName>
    <definedName name="ISIKAN1">[1]TESKAN_KUR!$C$7:$H$30</definedName>
    <definedName name="ISITES1" localSheetId="5">[1]ISITES_KUR!$C$7:$H$30</definedName>
    <definedName name="ISITES1">[1]ISITES_KUR!$C$7:$H$30</definedName>
    <definedName name="İU" localSheetId="5">[9]sıhhi!#REF!</definedName>
    <definedName name="İU">[9]sıhhi!#REF!</definedName>
    <definedName name="j">'[10]P&amp;D'!#REF!</definedName>
    <definedName name="j3tam" localSheetId="5">'[8]METRAJ SAYFASI'!#REF!</definedName>
    <definedName name="j3tam" localSheetId="0">'[8]METRAJ SAYFASI'!#REF!</definedName>
    <definedName name="j3tam" localSheetId="3">#REF!</definedName>
    <definedName name="j3tam">#REF!</definedName>
    <definedName name="j3top" localSheetId="5">'[8]METRAJ SAYFASI'!#REF!</definedName>
    <definedName name="j3top" localSheetId="0">'[8]METRAJ SAYFASI'!#REF!</definedName>
    <definedName name="j3top" localSheetId="3">#REF!</definedName>
    <definedName name="j3top">#REF!</definedName>
    <definedName name="k" localSheetId="5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k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k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KAR" localSheetId="5">#REF!</definedName>
    <definedName name="KAR" localSheetId="0">#REF!</definedName>
    <definedName name="KAR">#REF!</definedName>
    <definedName name="KES">[13]KESİNTİ!$E$11</definedName>
    <definedName name="KK" localSheetId="5">fw!KK</definedName>
    <definedName name="KK" localSheetId="0">'PROJE OZET BILGILERI'!KK</definedName>
    <definedName name="KK">'PROJE OZET BILGILERI'!KK</definedName>
    <definedName name="LL" localSheetId="5">fw!LL</definedName>
    <definedName name="LL" localSheetId="0">'PROJE OZET BILGILERI'!LL</definedName>
    <definedName name="LL">'PROJE OZET BILGILERI'!LL</definedName>
    <definedName name="m">'[10]P&amp;D'!#REF!</definedName>
    <definedName name="Macro1" localSheetId="5">fw!Macro1</definedName>
    <definedName name="Macro1" localSheetId="0">'PROJE OZET BILGILERI'!Macro1</definedName>
    <definedName name="Macro1">'PROJE OZET BILGILERI'!Macro1</definedName>
    <definedName name="Macro3" localSheetId="5">fw!Macro3</definedName>
    <definedName name="Macro3" localSheetId="0">'PROJE OZET BILGILERI'!Macro3</definedName>
    <definedName name="Macro3">'PROJE OZET BILGILERI'!Macro3</definedName>
    <definedName name="Macro4" localSheetId="5">fw!Macro4</definedName>
    <definedName name="Macro4" localSheetId="0">'PROJE OZET BILGILERI'!Macro4</definedName>
    <definedName name="Macro4">'PROJE OZET BILGILERI'!Macro4</definedName>
    <definedName name="Marsel" localSheetId="5">fw!Marsel</definedName>
    <definedName name="Marsel" localSheetId="0">'PROJE OZET BILGILERI'!Marsel</definedName>
    <definedName name="Marsel">'PROJE OZET BILGILERI'!Marsel</definedName>
    <definedName name="Me" localSheetId="5">#REF!</definedName>
    <definedName name="Me" localSheetId="0">#REF!</definedName>
    <definedName name="Me" localSheetId="3">#REF!</definedName>
    <definedName name="Me">#REF!</definedName>
    <definedName name="mIZIZI">'[2]P&amp;D'!#REF!</definedName>
    <definedName name="MMK" localSheetId="5">fw!MMK</definedName>
    <definedName name="MMK" localSheetId="0">'PROJE OZET BILGILERI'!MMK</definedName>
    <definedName name="MMK">'PROJE OZET BILGILERI'!MMK</definedName>
    <definedName name="Mu" localSheetId="5">#REF!</definedName>
    <definedName name="Mu" localSheetId="0">#REF!</definedName>
    <definedName name="Mu" localSheetId="3">#REF!</definedName>
    <definedName name="MU">[9]sıhhi!#REF!</definedName>
    <definedName name="Musa" localSheetId="5">#REF!</definedName>
    <definedName name="Musa" localSheetId="0">#REF!</definedName>
    <definedName name="Musa" localSheetId="3">#REF!</definedName>
    <definedName name="Musa">#REF!</definedName>
    <definedName name="Mustafa" localSheetId="5">fw!Mustafa</definedName>
    <definedName name="Mustafa" localSheetId="0">'PROJE OZET BILGILERI'!Mustafa</definedName>
    <definedName name="Mustafa">'PROJE OZET BILGILERI'!Mustafa</definedName>
    <definedName name="N">[5]demir!$A$1</definedName>
    <definedName name="Na" localSheetId="5">#REF!</definedName>
    <definedName name="Na" localSheetId="0">#REF!</definedName>
    <definedName name="Na" localSheetId="3">#REF!</definedName>
    <definedName name="Na">#REF!</definedName>
    <definedName name="NI" localSheetId="5">[12]demir!#REF!</definedName>
    <definedName name="NI">[12]demir!#REF!</definedName>
    <definedName name="njf">'[10]P&amp;D'!#REF!</definedName>
    <definedName name="NK">[5]demir!$A$1</definedName>
    <definedName name="OI" localSheetId="5">fw!OI</definedName>
    <definedName name="OI" localSheetId="0">'PROJE OZET BILGILERI'!OI</definedName>
    <definedName name="OI">'PROJE OZET BILGILERI'!OI</definedName>
    <definedName name="onay">[14]mal_onay!$C$5:$U$350</definedName>
    <definedName name="OPY" localSheetId="5">fw!OPY</definedName>
    <definedName name="OPY" localSheetId="0">'PROJE OZET BILGILERI'!OPY</definedName>
    <definedName name="OPY">'PROJE OZET BILGILERI'!OPY</definedName>
    <definedName name="Orhan" localSheetId="5">fw!Orhan</definedName>
    <definedName name="Orhan" localSheetId="0">'PROJE OZET BILGILERI'!Orhan</definedName>
    <definedName name="Orhan">'PROJE OZET BILGILERI'!Orhan</definedName>
    <definedName name="Os" localSheetId="5">#REF!</definedName>
    <definedName name="Os" localSheetId="0">#REF!</definedName>
    <definedName name="Os" localSheetId="3">#REF!</definedName>
    <definedName name="Os">#REF!</definedName>
    <definedName name="Osman" localSheetId="5">fw!Osman</definedName>
    <definedName name="Osman" localSheetId="0">'PROJE OZET BILGILERI'!Osman</definedName>
    <definedName name="Osman">'PROJE OZET BILGILERI'!Osman</definedName>
    <definedName name="P" localSheetId="5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P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P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plc" localSheetId="5">#REF!</definedName>
    <definedName name="plc">#REF!</definedName>
    <definedName name="polipan_eritme">[5]eritme!$B$146:$S$176</definedName>
    <definedName name="pozlar" localSheetId="5">[1]POZLAR!$A$2:$D$295</definedName>
    <definedName name="pozlar">[1]POZLAR!$A$2:$D$295</definedName>
    <definedName name="_xlnm.Print_Area" localSheetId="1">'ASSISTING ANALYSES '!#REF!</definedName>
    <definedName name="_xlnm.Print_Area" localSheetId="11">BOQ!$A$1:$I$50</definedName>
    <definedName name="_xlnm.Print_Area" localSheetId="6">'EQUIPMENT &amp; PLANT RATES'!#REF!</definedName>
    <definedName name="_xlnm.Print_Area" localSheetId="5">fw!$A$1:$M$94</definedName>
    <definedName name="_xlnm.Print_Area" localSheetId="10">'GENERAL EXPENSES (2)'!$A$1:$O$213</definedName>
    <definedName name="_xlnm.Print_Area" localSheetId="8">'LABOURSHIP RATES'!#REF!</definedName>
    <definedName name="_xlnm.Print_Area" localSheetId="2">MANPOWER!#REF!</definedName>
    <definedName name="_xlnm.Print_Area" localSheetId="7">'MATERIAL PRICE LIST'!$B$2:$I$77</definedName>
    <definedName name="_xlnm.Print_Area" localSheetId="12">'summary sheet'!$A$1:$F$37</definedName>
    <definedName name="Print_Area_MI">#REF!</definedName>
    <definedName name="_xlnm.Print_Titles" localSheetId="5">[1]ISTDUV_KUR!$A$1:$IV$4</definedName>
    <definedName name="_xlnm.Print_Titles" localSheetId="3">reinforcement!$1:$3</definedName>
    <definedName name="_xlnm.Print_Titles">[1]ISTDUV_KUR!$A$1:$IV$4</definedName>
    <definedName name="Q" localSheetId="5">[5]metin!#REF!</definedName>
    <definedName name="Q" localSheetId="0">[5]metin!#REF!</definedName>
    <definedName name="Q">[5]metin!#REF!</definedName>
    <definedName name="RAPOR">[5]metin!$H$4:$Q$43</definedName>
    <definedName name="_xlnm.Recorder" localSheetId="5">#REF!</definedName>
    <definedName name="_xlnm.Recorder" localSheetId="0">#REF!</definedName>
    <definedName name="_xlnm.Recorder">#REF!</definedName>
    <definedName name="REN" localSheetId="5">fw!REN</definedName>
    <definedName name="REN" localSheetId="0">'PROJE OZET BILGILERI'!REN</definedName>
    <definedName name="REN">'PROJE OZET BILGILERI'!REN</definedName>
    <definedName name="rf">'[10]P&amp;D'!#REF!</definedName>
    <definedName name="S_1">'[5]irsaliye tesbit4-5'!$I$2:$N$55</definedName>
    <definedName name="S_2">'[5]irsaliye tesbit4-5'!$P$2:$U$55</definedName>
    <definedName name="S_3">'[5]irsaliye tesbit4-5'!$W$2:$AB$55</definedName>
    <definedName name="S_4">'[5]irsaliye tesbit4-5'!$AD$2:$AI$56</definedName>
    <definedName name="S_5">'[5]irsaliye tesbit4-5'!$AK$2:$AP$55</definedName>
    <definedName name="saç_kasa_eritme">[5]eritme!$B$209:$S$239</definedName>
    <definedName name="ŞAN.DIŞ.İHZ.TUT." localSheetId="5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AN.DIŞ.İHZ.TUT.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AN.DIŞ.İHZ.TUT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şant_içi_tut.">[5]metin!$A$3:$A$68</definedName>
    <definedName name="SDSD" localSheetId="5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SDSD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SDSD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Se" localSheetId="5">#REF!</definedName>
    <definedName name="Se" localSheetId="0">#REF!</definedName>
    <definedName name="Se" localSheetId="3">#REF!</definedName>
    <definedName name="Se">#REF!</definedName>
    <definedName name="seramik_eritme">[5]eritme!$B$75:$S$105</definedName>
    <definedName name="SSS" localSheetId="5" hidden="1">{#N/A,#N/A,FALSE,"ihz. icmal";#N/A,#N/A,FALSE,"avans";#N/A,#N/A,FALSE,"mal_FF_icm";#N/A,#N/A,FALSE,"fat_ihz";#N/A,#N/A,FALSE,"söz_fiy_fark";#N/A,#N/A,FALSE,"kap2"}</definedName>
    <definedName name="SSS" localSheetId="0" hidden="1">{#N/A,#N/A,FALSE,"ihz. icmal";#N/A,#N/A,FALSE,"avans";#N/A,#N/A,FALSE,"mal_FF_icm";#N/A,#N/A,FALSE,"fat_ihz";#N/A,#N/A,FALSE,"söz_fiy_fark";#N/A,#N/A,FALSE,"kap2"}</definedName>
    <definedName name="SSS" hidden="1">{#N/A,#N/A,FALSE,"ihz. icmal";#N/A,#N/A,FALSE,"avans";#N/A,#N/A,FALSE,"mal_FF_icm";#N/A,#N/A,FALSE,"fat_ihz";#N/A,#N/A,FALSE,"söz_fiy_fark";#N/A,#N/A,FALSE,"kap2"}</definedName>
    <definedName name="Şü" localSheetId="5">#REF!</definedName>
    <definedName name="Şü" localSheetId="0">#REF!</definedName>
    <definedName name="Şü" localSheetId="3">#REF!</definedName>
    <definedName name="Şü">#REF!</definedName>
    <definedName name="T">[13]J3!$N$50</definedName>
    <definedName name="t.1" localSheetId="5">#REF!</definedName>
    <definedName name="t.1" localSheetId="0">#REF!</definedName>
    <definedName name="t.1" localSheetId="3">#REF!</definedName>
    <definedName name="t.1">#REF!</definedName>
    <definedName name="t.2" localSheetId="5">#REF!</definedName>
    <definedName name="t.2" localSheetId="0">#REF!</definedName>
    <definedName name="t.2" localSheetId="3">#REF!</definedName>
    <definedName name="t.2">#REF!</definedName>
    <definedName name="t.3" localSheetId="5">#REF!</definedName>
    <definedName name="t.3" localSheetId="0">#REF!</definedName>
    <definedName name="t.3" localSheetId="3">#REF!</definedName>
    <definedName name="t.3">#REF!</definedName>
    <definedName name="t.4" localSheetId="5">#REF!</definedName>
    <definedName name="t.4" localSheetId="0">#REF!</definedName>
    <definedName name="t.4" localSheetId="3">#REF!</definedName>
    <definedName name="t.4">#REF!</definedName>
    <definedName name="tar">[13]İCMAL!$J$2</definedName>
    <definedName name="TEKLIF" localSheetId="5">'[15]genel bilgiler'!$A$2:$C$5</definedName>
    <definedName name="TEKLIF" localSheetId="0">'[15]genel bilgiler'!$A$2:$C$5</definedName>
    <definedName name="TEKLIF">'[16]genel bilgiler'!$A$2:$C$5</definedName>
    <definedName name="tes_ihz_tut">[5]metin!$A$163:$A$243</definedName>
    <definedName name="TL" localSheetId="5">#REF!</definedName>
    <definedName name="TL">#REF!</definedName>
    <definedName name="TOP">#REF!</definedName>
    <definedName name="TT">[13]J3!$K$50</definedName>
    <definedName name="tünel_eritme">[5]eritme!$W$2:$AN$40</definedName>
    <definedName name="TUTELK">[5]metin!$A$75:$A$150</definedName>
    <definedName name="TUTİNŞ">[5]metin!$A$3:$A$73</definedName>
    <definedName name="TUTTES">[5]metin!$A$152:$A$230</definedName>
    <definedName name="U" localSheetId="5">fw!U</definedName>
    <definedName name="U" localSheetId="0">'PROJE OZET BILGILERI'!U</definedName>
    <definedName name="U">'PROJE OZET BILGILERI'!U</definedName>
    <definedName name="US" localSheetId="5">#REF!</definedName>
    <definedName name="US">#REF!</definedName>
    <definedName name="USD" localSheetId="5">#REF!</definedName>
    <definedName name="USD" localSheetId="0">#REF!</definedName>
    <definedName name="USD">#REF!</definedName>
    <definedName name="UYT" localSheetId="5">fw!UYT</definedName>
    <definedName name="UYT" localSheetId="0">'PROJE OZET BILGILERI'!UYT</definedName>
    <definedName name="UYT">'PROJE OZET BILGILERI'!UYT</definedName>
    <definedName name="v" localSheetId="5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v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v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rn.age._.ihzarat." localSheetId="5" hidden="1">{#N/A,#N/A,FALSE,"ihz. icmal";#N/A,#N/A,FALSE,"avans";#N/A,#N/A,FALSE,"mal_FF_icm";#N/A,#N/A,FALSE,"fat_ihz";#N/A,#N/A,FALSE,"söz_fiy_fark";#N/A,#N/A,FALSE,"kap2"}</definedName>
    <definedName name="wrn.age._.ihzarat." localSheetId="0" hidden="1">{#N/A,#N/A,FALSE,"ihz. icmal";#N/A,#N/A,FALSE,"avans";#N/A,#N/A,FALSE,"mal_FF_icm";#N/A,#N/A,FALSE,"fat_ihz";#N/A,#N/A,FALSE,"söz_fiy_fark";#N/A,#N/A,FALSE,"kap2"}</definedName>
    <definedName name="wrn.age._.ihzarat." hidden="1">{#N/A,#N/A,FALSE,"ihz. icmal";#N/A,#N/A,FALSE,"avans";#N/A,#N/A,FALSE,"mal_FF_icm";#N/A,#N/A,FALSE,"fat_ihz";#N/A,#N/A,FALSE,"söz_fiy_fark";#N/A,#N/A,FALSE,"kap2"}</definedName>
    <definedName name="wrn.age._.imalat." localSheetId="5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age._.imalat." localSheetId="0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age._.imalat." hidden="1">{#N/A,#N/A,TRUE,"ÝCMAL";#N/A,#N/A,TRUE,"12221CO";#N/A,#N/A,TRUE,"12222CO";#N/A,#N/A,TRUE,"12223CK";#N/A,#N/A,TRUE,"12224CO";#N/A,#N/A,TRUE,"12225CO";#N/A,#N/A,TRUE,"12231BO";#N/A,#N/A,TRUE,"12232BO";#N/A,#N/A,TRUE,"12233BO";#N/A,#N/A,TRUE,"12234BO";#N/A,#N/A,TRUE,"12235BO";#N/A,#N/A,TRUE,"12236BO";#N/A,#N/A,TRUE,"12237BK";#N/A,#N/A,TRUE,"12238CK";#N/A,#N/A,TRUE,"12239CO";#N/A,#N/A,TRUE,"12241BO";#N/A,#N/A,TRUE,"12242BK";#N/A,#N/A,TRUE,"12243BO";#N/A,#N/A,TRUE,"12244BO";#N/A,#N/A,TRUE,"12245BO";#N/A,#N/A,TRUE,"12246CK";#N/A,#N/A,TRUE,"12247CO";#N/A,#N/A,TRUE,"12248CO";#N/A,#N/A,TRUE,"12251BO";#N/A,#N/A,TRUE,"12252BO";#N/A,#N/A,TRUE,"12253BO";#N/A,#N/A,TRUE,"12254BO";#N/A,#N/A,TRUE,"12255CK";#N/A,#N/A,TRUE,"12256CO";#N/A,#N/A,TRUE,"12257CO";#N/A,#N/A,TRUE,"12261BO";#N/A,#N/A,TRUE,"12262BO";#N/A,#N/A,TRUE,"12263BO";#N/A,#N/A,TRUE,"12264CK";#N/A,#N/A,TRUE,"12265CO";#N/A,#N/A,TRUE,"12266CO";#N/A,#N/A,TRUE,"12271CO";#N/A,#N/A,TRUE,"12272CK";#N/A,#N/A,TRUE,"12273BO";#N/A,#N/A,TRUE,"12274BO";#N/A,#N/A,TRUE,"12275BO";#N/A,#N/A,TRUE,"12276CO";#N/A,#N/A,TRUE,"12277CO";#N/A,#N/A,TRUE,"12321CO";#N/A,#N/A,TRUE,"12322CK";#N/A,#N/A,TRUE,"12323CO";#N/A,#N/A,TRUE,"12324CK";#N/A,#N/A,TRUE,"12325CO";#N/A,#N/A,TRUE,"12326CO";#N/A,#N/A,TRUE,"12327CO";#N/A,#N/A,TRUE,"12328CO";#N/A,#N/A,TRUE,"12331CO";#N/A,#N/A,TRUE,"12332CO";#N/A,#N/A,TRUE,"12333CO";#N/A,#N/A,TRUE,"12334CK";#N/A,#N/A,TRUE,"12335CO";#N/A,#N/A,TRUE,"12336CO"}</definedName>
    <definedName name="wrn.BIMAL." localSheetId="5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rn.BIMAL.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rn.BIMAL.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rn.ekinci._.imalat." localSheetId="5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ekinci._.imalat." localSheetId="0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ekinci._.imalat." hidden="1">{#N/A,#N/A,TRUE,"ÝCMAL";#N/A,#N/A,TRUE,"22071CO";#N/A,#N/A,TRUE,"22072CO";#N/A,#N/A,TRUE,"22073CO";#N/A,#N/A,TRUE,"22074CK";#N/A,#N/A,TRUE,"22075CO";#N/A,#N/A,TRUE,"22076CO";#N/A,#N/A,TRUE,"22081BO";#N/A,#N/A,TRUE,"22082BO";#N/A,#N/A,TRUE,"22083BO";#N/A,#N/A,TRUE,"22084BO";#N/A,#N/A,TRUE,"22085BO";#N/A,#N/A,TRUE,"22086CO";#N/A,#N/A,TRUE,"22087CK";#N/A,#N/A,TRUE,"22091BO";#N/A,#N/A,TRUE,"22092BO";#N/A,#N/A,TRUE,"22093BO";#N/A,#N/A,TRUE,"22094BO";#N/A,#N/A,TRUE,"22095CO";#N/A,#N/A,TRUE,"22096CK";#N/A,#N/A,TRUE,"22101CO";#N/A,#N/A,TRUE,"22102CO";#N/A,#N/A,TRUE,"22103CO";#N/A,#N/A,TRUE,"22104CO";#N/A,#N/A,TRUE,"22106BK";#N/A,#N/A,TRUE,"22105CO";#N/A,#N/A,TRUE,"22106BK";#N/A,#N/A,TRUE,"22107BO";#N/A,#N/A,TRUE,"22131CK";#N/A,#N/A,TRUE,"22132CO";#N/A,#N/A,TRUE,"22133CO";#N/A,#N/A,TRUE,"22134CO";#N/A,#N/A,TRUE,"22141BK";#N/A,#N/A,TRUE,"22142BO";#N/A,#N/A,TRUE,"22143CO";#N/A,#N/A,TRUE,"22144CO";#N/A,#N/A,TRUE,"22145CO";#N/A,#N/A,TRUE,"22146CO";#N/A,#N/A,TRUE,"22161CO";#N/A,#N/A,TRUE,"22162CO";#N/A,#N/A,TRUE,"22163CK";#N/A,#N/A,TRUE,"22164CK";#N/A,#N/A,TRUE,"22165CO";#N/A,#N/A,TRUE,"22166CO";#N/A,#N/A,TRUE,"22167CO";#N/A,#N/A,TRUE,"22171CK";#N/A,#N/A,TRUE,"22172CO";#N/A,#N/A,TRUE,"22173CO";#N/A,#N/A,TRUE,"22174CK";#N/A,#N/A,TRUE,"22175CO";#N/A,#N/A,TRUE,"22176CO";#N/A,#N/A,TRUE,"22177CO"}</definedName>
    <definedName name="wrn.HAK1." localSheetId="5" hidden="1">{#N/A,#N/A,FALSE,"imalat_keşif";#N/A,#N/A,FALSE,"imalat_seviye";#N/A,#N/A,FALSE,"141";#N/A,#N/A,FALSE,"142";#N/A,#N/A,FALSE,"143";#N/A,#N/A,FALSE,"144";#N/A,#N/A,FALSE,"145";#N/A,#N/A,FALSE,"146";#N/A,#N/A,FALSE,"147";#N/A,#N/A,FALSE,"148";#N/A,#N/A,FALSE,"149"}</definedName>
    <definedName name="wrn.HAK1." localSheetId="0" hidden="1">{#N/A,#N/A,FALSE,"imalat_keşif";#N/A,#N/A,FALSE,"imalat_seviye";#N/A,#N/A,FALSE,"141";#N/A,#N/A,FALSE,"142";#N/A,#N/A,FALSE,"143";#N/A,#N/A,FALSE,"144";#N/A,#N/A,FALSE,"145";#N/A,#N/A,FALSE,"146";#N/A,#N/A,FALSE,"147";#N/A,#N/A,FALSE,"148";#N/A,#N/A,FALSE,"149"}</definedName>
    <definedName name="wrn.HAK1." hidden="1">{#N/A,#N/A,FALSE,"imalat_keşif";#N/A,#N/A,FALSE,"imalat_seviye";#N/A,#N/A,FALSE,"141";#N/A,#N/A,FALSE,"142";#N/A,#N/A,FALSE,"143";#N/A,#N/A,FALSE,"144";#N/A,#N/A,FALSE,"145";#N/A,#N/A,FALSE,"146";#N/A,#N/A,FALSE,"147";#N/A,#N/A,FALSE,"148";#N/A,#N/A,FALSE,"149"}</definedName>
    <definedName name="wrn.hakkari._.imalat." localSheetId="5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hakkari._.imalat." localSheetId="0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hakkari._.imalat." hidden="1">{#N/A,#N/A,FALSE,"HAB1CO";#N/A,#N/A,FALSE,"HAB2CO";#N/A,#N/A,FALSE,"HAB3BO";#N/A,#N/A,FALSE,"HAB4BO";#N/A,#N/A,FALSE,"HAB5BO";#N/A,#N/A,FALSE,"HAB6BK";#N/A,#N/A,FALSE,"HAB7CK";#N/A,#N/A,FALSE,"HAB8CO";#N/A,#N/A,FALSE,"HAC1CO";#N/A,#N/A,FALSE,"HAC2CO";#N/A,#N/A,FALSE,"HAC3CK";#N/A,#N/A,FALSE,"HAC4CO";#N/A,#N/A,FALSE,"HAC5CO";#N/A,#N/A,FALSE,"HAC6CO";#N/A,#N/A,FALSE,"HAC7CO";#N/A,#N/A,FALSE,"HAC8CK";#N/A,#N/A,FALSE,"HAG4BO";#N/A,#N/A,FALSE,"HAG5BK";#N/A,#N/A,FALSE,"HAI1CO";#N/A,#N/A,FALSE,"HAI2CO";#N/A,#N/A,FALSE,"HAI3BO";#N/A,#N/A,FALSE,"HAI4BO";#N/A,#N/A,FALSE,"HAI5CK";#N/A,#N/A,FALSE,"HAI6CO";#N/A,#N/A,FALSE,"ÝCMAL"}</definedName>
    <definedName name="wrn.ihzarat." localSheetId="5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ihzarat." localSheetId="0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ihzarat." hidden="1">{#N/A,#N/A,FALSE,"ihz. icmal";#N/A,#N/A,FALSE,"inş_iç_ihz";#N/A,#N/A,FALSE,"inş_iç_tut";#N/A,#N/A,FALSE,"inş_iç_er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;#N/A,#N/A,FALSE,"elk_iç_ihz";#N/A,#N/A,FALSE,"elk_iç_tut";#N/A,#N/A,FALSE,"elk_iç_er"}</definedName>
    <definedName name="wrn.kocoglu._.imalat." localSheetId="5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kocoglu._.imalat." localSheetId="0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kocoglu._.imalat." hidden="1">{#N/A,#N/A,TRUE,"ÝCMAL";#N/A,#N/A,TRUE,"32361BO";#N/A,#N/A,TRUE,"32362BO";#N/A,#N/A,TRUE,"32363BO";#N/A,#N/A,TRUE,"32364BK";#N/A,#N/A,TRUE,"32365BO";#N/A,#N/A,TRUE,"32366BO";#N/A,#N/A,TRUE,"32367BK";#N/A,#N/A,TRUE,"32368BO";#N/A,#N/A,TRUE,"32371CO";#N/A,#N/A,TRUE,"32372CO";#N/A,#N/A,TRUE,"32373CO";#N/A,#N/A,TRUE,"32374CO";#N/A,#N/A,TRUE,"32375CO";#N/A,#N/A,TRUE,"32376CK";#N/A,#N/A,TRUE,"32381BO";#N/A,#N/A,TRUE,"32382BO";#N/A,#N/A,TRUE,"32383BO";#N/A,#N/A,TRUE,"32384BO";#N/A,#N/A,TRUE,"32385BO";#N/A,#N/A,TRUE,"32386BK";#N/A,#N/A,TRUE,"32391BO";#N/A,#N/A,TRUE,"32392BO";#N/A,#N/A,TRUE,"32393BO";#N/A,#N/A,TRUE,"32394BO";#N/A,#N/A,TRUE,"32395BK";#N/A,#N/A,TRUE,"32441CO";#N/A,#N/A,TRUE,"32442CO";#N/A,#N/A,TRUE,"32443CO";#N/A,#N/A,TRUE,"32444CO";#N/A,#N/A,TRUE,"32445CK";#N/A,#N/A,TRUE,"32451BO";#N/A,#N/A,TRUE,"32452BO";#N/A,#N/A,TRUE,"32453CO";#N/A,#N/A,TRUE,"32454CO";#N/A,#N/A,TRUE,"32455CK";#N/A,#N/A,TRUE,"32461CO";#N/A,#N/A,TRUE,"32462CO";#N/A,#N/A,TRUE,"32463CO";#N/A,#N/A,TRUE,"32464CO";#N/A,#N/A,TRUE,"32465CK"}</definedName>
    <definedName name="wrn.müşterek." localSheetId="5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müşterek." localSheetId="0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müşterek." hidden="1">{#N/A,#N/A,FALSE,"söz_fiy_fark";#N/A,#N/A,FALSE,"ihz. icmal";#N/A,#N/A,FALSE,"1";#N/A,#N/A,FALSE,"sıh_iç_ihz";#N/A,#N/A,FALSE,"sıh_iç_tut";#N/A,#N/A,FALSE,"sıh_iç_er";#N/A,#N/A,FALSE,"2";#N/A,#N/A,FALSE,"müş_iç_ihz";#N/A,#N/A,FALSE,"müş_iç_tut";#N/A,#N/A,FALSE,"müş_iç_er";#N/A,#N/A,FALSE,"3";#N/A,#N/A,FALSE,"kal_iç_ihz";#N/A,#N/A,FALSE,"kal_iç_tut";#N/A,#N/A,FALSE,"kal_iç_er";#N/A,#N/A,FALSE,"4";#N/A,#N/A,FALSE,"oto_ihz";#N/A,#N/A,FALSE,"oto_tut";#N/A,#N/A,FALSE,"oto_er";#N/A,#N/A,FALSE,"5";#N/A,#N/A,FALSE,"brü_ihz";#N/A,#N/A,FALSE,"brü_tut";#N/A,#N/A,FALSE,"brü_er"}</definedName>
    <definedName name="wrn.oztas._.imalat." localSheetId="5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oztas._.imalat." localSheetId="0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oztas._.imalat." hidden="1">{#N/A,#N/A,TRUE,"ÝCMAL";#N/A,#N/A,TRUE,"25101CO";#N/A,#N/A,TRUE,"25102CO";#N/A,#N/A,TRUE,"25103CK";#N/A,#N/A,TRUE,"25104CO";#N/A,#N/A,TRUE,"25201BO";#N/A,#N/A,TRUE,"25202BO";#N/A,#N/A,TRUE,"25203BO";#N/A,#N/A,TRUE,"25204BO";#N/A,#N/A,TRUE,"25205BO";#N/A,#N/A,TRUE,"25206BO";#N/A,#N/A,TRUE,"25207BO";#N/A,#N/A,TRUE,"25208BO";#N/A,#N/A,TRUE,"25209BK";#N/A,#N/A,TRUE,"25301BO";#N/A,#N/A,TRUE,"25302BO";#N/A,#N/A,TRUE,"25303BO";#N/A,#N/A,TRUE,"25304BO";#N/A,#N/A,TRUE,"25305BO";#N/A,#N/A,TRUE,"25306BO";#N/A,#N/A,TRUE,"25307BK";#N/A,#N/A,TRUE,"25701CK";#N/A,#N/A,TRUE,"25702CO";#N/A,#N/A,TRUE,"25703BO";#N/A,#N/A,TRUE,"25704BO";#N/A,#N/A,TRUE,"25705BO";#N/A,#N/A,TRUE,"25801BO";#N/A,#N/A,TRUE,"25802BO";#N/A,#N/A,TRUE,"25803BO";#N/A,#N/A,TRUE,"25804CO";#N/A,#N/A,TRUE,"25805CK";#N/A,#N/A,TRUE,"25901CO";#N/A,#N/A,TRUE,"25902CK";#N/A,#N/A,TRUE,"25903CO";#N/A,#N/A,TRUE,"25904CO";#N/A,#N/A,TRUE,"25905CO";#N/A,#N/A,TRUE,"25906CO";#N/A,#N/A,TRUE,"25907CO";#N/A,#N/A,TRUE,"25908CO";#N/A,#N/A,TRUE,"25909CO";#N/A,#N/A,TRUE,"25910CK";#N/A,#N/A,TRUE,"26001CO";#N/A,#N/A,TRUE,"26002CO";#N/A,#N/A,TRUE,"26003CO";#N/A,#N/A,TRUE,"26004CK";#N/A,#N/A,TRUE,"26005CO";#N/A,#N/A,TRUE,"277301CO";#N/A,#N/A,TRUE,"277302CO";#N/A,#N/A,TRUE,"277303CO";#N/A,#N/A,TRUE,"277304CK";#N/A,#N/A,TRUE,"277305CO";#N/A,#N/A,TRUE,"277306CO";#N/A,#N/A,TRUE,"277401CO";#N/A,#N/A,TRUE,"277402CO";#N/A,#N/A,TRUE,"277403CO";#N/A,#N/A,TRUE,"277404CK";#N/A,#N/A,TRUE,"277405CO";#N/A,#N/A,TRUE,"277501CK";#N/A,#N/A,TRUE,"277502CO";#N/A,#N/A,TRUE,"277503CO"}</definedName>
    <definedName name="wrn.sirnak._.imalat." localSheetId="5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wrn.sirnak._.imalat." localSheetId="0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wrn.sirnak._.imalat." hidden="1">{#N/A,#N/A,TRUE,"ÞIA1BO";#N/A,#N/A,TRUE,"ÞIA2BO";#N/A,#N/A,TRUE,"ÞIA3BO";#N/A,#N/A,TRUE,"ÞIA4BK";#N/A,#N/A,TRUE,"ÞIB1BK";#N/A,#N/A,TRUE,"ÞIB2BO";#N/A,#N/A,TRUE,"ÞIG1BO";#N/A,#N/A,TRUE,"ÞIG2BO";#N/A,#N/A,TRUE,"ÞIG3BO";#N/A,#N/A,TRUE,"ÞIG4CO";#N/A,#N/A,TRUE,"ÞIG5CO";#N/A,#N/A,TRUE,"ÞIG6CO";#N/A,#N/A,TRUE,"ÞIG7CO";#N/A,#N/A,TRUE,"ÞIG8CK";#N/A,#N/A,TRUE,"ÞIG9CO";#N/A,#N/A,TRUE,"ÞIG10CK";#N/A,#N/A,TRUE,"ÞIH1CO";#N/A,#N/A,TRUE,"ÞIH2CO";#N/A,#N/A,TRUE,"ÞIH3CO";#N/A,#N/A,TRUE,"ÞIH4CO";#N/A,#N/A,TRUE,"ÞIH5CO";#N/A,#N/A,TRUE,"ÞIH7CO";#N/A,#N/A,TRUE,"ÝCMAL";#N/A,#N/A,TRUE,"A Adasý";#N/A,#N/A,TRUE,"B Adasý";#N/A,#N/A,TRUE,"G Adasý";#N/A,#N/A,TRUE,"H Adasý";#N/A,#N/A,TRUE,"J Adasý"}</definedName>
    <definedName name="ww" localSheetId="5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w" localSheetId="0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ww" hidden="1">{#N/A,#N/A,FALSE,"BRIM_ICMAL";#N/A,#N/A,FALSE,"ASE_KUR";#N/A,#N/A,FALSE,"ASE_YES";#N/A,#N/A,FALSE,"AM_KUR";#N/A,#N/A,FALSE,"AMU_YES";#N/A,#N/A,FALSE,"PAR_KUR";#N/A,#N/A,FALSE,"PAR_YES";#N/A,#N/A,FALSE,"YSE_YES";#N/A,#N/A,FALSE,"YSE_YES";#N/A,#N/A,FALSE,"YM_KUR";#N/A,#N/A,FALSE,"YM_YES";#N/A,#N/A,FALSE,"YAB_KUR";#N/A,#N/A,FALSE,"YAB_YES";#N/A,#N/A,FALSE,"elek_kur";#N/A,#N/A,FALSE,"elek_yes";#N/A,#N/A,FALSE,"içm_KUR";#N/A,#N/A,FALSE,"içm_YES";#N/A,#N/A,FALSE,"TEL_KUR";#N/A,#N/A,FALSE,"TEL_YES";#N/A,#N/A,FALSE,"ISI_TES_KUR";#N/A,#N/A,FALSE,"ISI_TES_YES";#N/A,#N/A,FALSE,"ISIKAN_KUR";#N/A,#N/A,FALSE,"ISI_KAN_YES";#N/A,#N/A,FALSE,"YOLOT_KUR";#N/A,#N/A,FALSE,"YOLOT_YES";#N/A,#N/A,FALSE,"İST_KUR";#N/A,#N/A,FALSE,"İST_YES";#N/A,#N/A,FALSE,"ÇEVR_KUR";#N/A,#N/A,FALSE,"ÇEVRE_YES";#N/A,#N/A,FALSE,"PEY_KUR";#N/A,#N/A,FALSE,"PEY_YES";#N/A,#N/A,FALSE,"SULAMA_KUR";#N/A,#N/A,FALSE,"SULAMA_YES"}</definedName>
    <definedName name="X" localSheetId="5">#REF!</definedName>
    <definedName name="X" localSheetId="0">#REF!</definedName>
    <definedName name="X" localSheetId="3">#REF!</definedName>
    <definedName name="X">#REF!</definedName>
    <definedName name="y" localSheetId="5">fw!y</definedName>
    <definedName name="y" localSheetId="0">'PROJE OZET BILGILERI'!y</definedName>
    <definedName name="Y">'PROJE OZET BILGILERI'!y</definedName>
    <definedName name="yazı" localSheetId="5">#REF!</definedName>
    <definedName name="yazı" localSheetId="0">#REF!</definedName>
    <definedName name="yazı">#REF!</definedName>
    <definedName name="YEDDİ" localSheetId="5">[5]metin!#REF!</definedName>
    <definedName name="YEDDİ" localSheetId="0">[5]metin!#REF!</definedName>
    <definedName name="YEDDİ">[5]metin!#REF!</definedName>
    <definedName name="YOLOT1" localSheetId="5">[1]YOLOT_KUR!$C$7:$I$30</definedName>
    <definedName name="YOLOT1">[1]YOLOT_KUR!$C$7:$I$30</definedName>
    <definedName name="ytl" localSheetId="5">#REF!</definedName>
    <definedName name="ytl">#REF!</definedName>
    <definedName name="yu" localSheetId="5">fw!yu</definedName>
    <definedName name="yu" localSheetId="0">'PROJE OZET BILGILERI'!yu</definedName>
    <definedName name="YU">'PROJE OZET BILGILERI'!yu</definedName>
    <definedName name="YYYYY" localSheetId="5">fw!YYYYY</definedName>
    <definedName name="YYYYY" localSheetId="0">'PROJE OZET BILGILERI'!YYYYY</definedName>
    <definedName name="YYYYY">'PROJE OZET BILGILERI'!YYYYY</definedName>
    <definedName name="YYYYYYY" localSheetId="5">fw!YYYYYYY</definedName>
    <definedName name="YYYYYYY" localSheetId="0">'PROJE OZET BILGILERI'!YYYYYYY</definedName>
    <definedName name="YYYYYYY">'PROJE OZET BILGILERI'!YYYYYYY</definedName>
    <definedName name="Z" localSheetId="5">[12]demir!#REF!</definedName>
    <definedName name="Z" localSheetId="0">[12]demir!#REF!</definedName>
    <definedName name="Z">[12]demir!#REF!</definedName>
    <definedName name="ZAFER" localSheetId="5">#REF!</definedName>
    <definedName name="ZAFER" localSheetId="0">#REF!</definedName>
    <definedName name="ZAFER">#REF!</definedName>
    <definedName name="ZZ" localSheetId="5">[12]demir!#REF!</definedName>
    <definedName name="ZZ" localSheetId="0">[12]demir!#REF!</definedName>
    <definedName name="ZZ">[12]demir!#REF!</definedName>
    <definedName name="ZZZ" localSheetId="5">[5]metin!#REF!</definedName>
    <definedName name="ZZZ" localSheetId="0">[5]metin!#REF!</definedName>
    <definedName name="ZZZ">[5]metin!#REF!</definedName>
    <definedName name="ZZZZ" localSheetId="5">[5]metin!#REF!</definedName>
    <definedName name="ZZZZ" localSheetId="0">[5]metin!#REF!</definedName>
    <definedName name="ZZZZ">[5]metin!#REF!</definedName>
  </definedNames>
  <calcPr calcId="124519"/>
</workbook>
</file>

<file path=xl/calcChain.xml><?xml version="1.0" encoding="utf-8"?>
<calcChain xmlns="http://schemas.openxmlformats.org/spreadsheetml/2006/main">
  <c r="I8" i="30"/>
  <c r="I21"/>
  <c r="I24" l="1"/>
  <c r="I15" l="1"/>
  <c r="I18" l="1"/>
  <c r="I20" l="1"/>
  <c r="I22" l="1"/>
  <c r="I17"/>
  <c r="I14"/>
  <c r="I13" l="1"/>
  <c r="I12"/>
  <c r="I10"/>
  <c r="I9"/>
  <c r="M87" i="44" l="1"/>
  <c r="M90" l="1"/>
  <c r="M66"/>
  <c r="M49"/>
  <c r="M37"/>
  <c r="M18"/>
  <c r="M83"/>
  <c r="M29"/>
  <c r="M3" l="1"/>
  <c r="G5" i="41"/>
  <c r="H5"/>
  <c r="I5"/>
  <c r="J5"/>
  <c r="K5"/>
  <c r="L5"/>
  <c r="M5"/>
  <c r="N5"/>
  <c r="O5"/>
  <c r="P5"/>
  <c r="Q5"/>
  <c r="R5"/>
  <c r="S5"/>
  <c r="T5"/>
  <c r="U5"/>
  <c r="D6"/>
  <c r="J6" s="1"/>
  <c r="G6"/>
  <c r="H6"/>
  <c r="I6"/>
  <c r="K6"/>
  <c r="L6"/>
  <c r="M6"/>
  <c r="N6"/>
  <c r="O6"/>
  <c r="P6"/>
  <c r="Q6"/>
  <c r="R6"/>
  <c r="S6"/>
  <c r="T6"/>
  <c r="U6"/>
  <c r="D7"/>
  <c r="G7"/>
  <c r="H7"/>
  <c r="I7"/>
  <c r="J7"/>
  <c r="K7"/>
  <c r="L7"/>
  <c r="M7"/>
  <c r="N7"/>
  <c r="O7"/>
  <c r="P7"/>
  <c r="Q7"/>
  <c r="R7"/>
  <c r="S7"/>
  <c r="T7"/>
  <c r="U7"/>
  <c r="G8"/>
  <c r="H8"/>
  <c r="I8"/>
  <c r="J8"/>
  <c r="K8"/>
  <c r="L8"/>
  <c r="M8"/>
  <c r="N8"/>
  <c r="O8"/>
  <c r="P8"/>
  <c r="Q8"/>
  <c r="R8"/>
  <c r="S8"/>
  <c r="T8"/>
  <c r="U8"/>
  <c r="D9"/>
  <c r="K9" s="1"/>
  <c r="G9"/>
  <c r="H9"/>
  <c r="I9"/>
  <c r="J9"/>
  <c r="L9"/>
  <c r="M9"/>
  <c r="N9"/>
  <c r="O9"/>
  <c r="P9"/>
  <c r="Q9"/>
  <c r="R9"/>
  <c r="S9"/>
  <c r="T9"/>
  <c r="U9"/>
  <c r="D10"/>
  <c r="K10" s="1"/>
  <c r="G10"/>
  <c r="H10"/>
  <c r="I10"/>
  <c r="J10"/>
  <c r="L10"/>
  <c r="M10"/>
  <c r="N10"/>
  <c r="O10"/>
  <c r="P10"/>
  <c r="Q10"/>
  <c r="R10"/>
  <c r="S10"/>
  <c r="T10"/>
  <c r="U10"/>
  <c r="G11"/>
  <c r="H11"/>
  <c r="I11"/>
  <c r="J11"/>
  <c r="K11"/>
  <c r="L11"/>
  <c r="M11"/>
  <c r="N11"/>
  <c r="O11"/>
  <c r="P11"/>
  <c r="Q11"/>
  <c r="R11"/>
  <c r="S11"/>
  <c r="T11"/>
  <c r="U11"/>
  <c r="D12"/>
  <c r="K12" s="1"/>
  <c r="G12"/>
  <c r="H12"/>
  <c r="I12"/>
  <c r="J12"/>
  <c r="L12"/>
  <c r="M12"/>
  <c r="N12"/>
  <c r="O12"/>
  <c r="P12"/>
  <c r="Q12"/>
  <c r="R12"/>
  <c r="S12"/>
  <c r="T12"/>
  <c r="U12"/>
  <c r="D13"/>
  <c r="K13" s="1"/>
  <c r="G13"/>
  <c r="H13"/>
  <c r="I13"/>
  <c r="J13"/>
  <c r="L13"/>
  <c r="M13"/>
  <c r="N13"/>
  <c r="O13"/>
  <c r="P13"/>
  <c r="Q13"/>
  <c r="R13"/>
  <c r="S13"/>
  <c r="T13"/>
  <c r="U13"/>
  <c r="G15"/>
  <c r="H15"/>
  <c r="I15"/>
  <c r="J15"/>
  <c r="K15"/>
  <c r="L15"/>
  <c r="M15"/>
  <c r="N15"/>
  <c r="O15"/>
  <c r="P15"/>
  <c r="Q15"/>
  <c r="R15"/>
  <c r="S15"/>
  <c r="T15"/>
  <c r="U15"/>
  <c r="D16"/>
  <c r="J16" s="1"/>
  <c r="G16"/>
  <c r="H16"/>
  <c r="I16"/>
  <c r="K16"/>
  <c r="L16"/>
  <c r="M16"/>
  <c r="N16"/>
  <c r="O16"/>
  <c r="P16"/>
  <c r="Q16"/>
  <c r="R16"/>
  <c r="S16"/>
  <c r="T16"/>
  <c r="U16"/>
  <c r="D17"/>
  <c r="E17"/>
  <c r="H17"/>
  <c r="I17"/>
  <c r="J17"/>
  <c r="K17"/>
  <c r="L17"/>
  <c r="M17"/>
  <c r="N17"/>
  <c r="O17"/>
  <c r="P17"/>
  <c r="Q17"/>
  <c r="R17"/>
  <c r="S17"/>
  <c r="T17"/>
  <c r="U17"/>
  <c r="G18"/>
  <c r="H18"/>
  <c r="I18"/>
  <c r="J18"/>
  <c r="K18"/>
  <c r="L18"/>
  <c r="M18"/>
  <c r="N18"/>
  <c r="O18"/>
  <c r="P18"/>
  <c r="Q18"/>
  <c r="R18"/>
  <c r="S18"/>
  <c r="T18"/>
  <c r="U18"/>
  <c r="D19"/>
  <c r="K19" s="1"/>
  <c r="G19"/>
  <c r="H19"/>
  <c r="I19"/>
  <c r="J19"/>
  <c r="L19"/>
  <c r="M19"/>
  <c r="N19"/>
  <c r="O19"/>
  <c r="P19"/>
  <c r="Q19"/>
  <c r="R19"/>
  <c r="S19"/>
  <c r="T19"/>
  <c r="U19"/>
  <c r="D20"/>
  <c r="E20"/>
  <c r="H20"/>
  <c r="I20"/>
  <c r="J20"/>
  <c r="K20"/>
  <c r="L20"/>
  <c r="M20"/>
  <c r="N20"/>
  <c r="O20"/>
  <c r="P20"/>
  <c r="Q20"/>
  <c r="R20"/>
  <c r="S20"/>
  <c r="T20"/>
  <c r="U20"/>
  <c r="G21"/>
  <c r="H21"/>
  <c r="I21"/>
  <c r="J21"/>
  <c r="K21"/>
  <c r="L21"/>
  <c r="M21"/>
  <c r="N21"/>
  <c r="O21"/>
  <c r="P21"/>
  <c r="Q21"/>
  <c r="R21"/>
  <c r="S21"/>
  <c r="T21"/>
  <c r="U21"/>
  <c r="G22"/>
  <c r="H22"/>
  <c r="I22"/>
  <c r="J22"/>
  <c r="K22"/>
  <c r="L22"/>
  <c r="M22"/>
  <c r="N22"/>
  <c r="O22"/>
  <c r="P22"/>
  <c r="Q22"/>
  <c r="R22"/>
  <c r="S22"/>
  <c r="T22"/>
  <c r="U22"/>
  <c r="G23"/>
  <c r="H23"/>
  <c r="I23"/>
  <c r="J23"/>
  <c r="K23"/>
  <c r="L23"/>
  <c r="M23"/>
  <c r="N23"/>
  <c r="O23"/>
  <c r="P23"/>
  <c r="Q23"/>
  <c r="R23"/>
  <c r="S23"/>
  <c r="T23"/>
  <c r="U23"/>
  <c r="E24"/>
  <c r="G24" s="1"/>
  <c r="H24"/>
  <c r="I24"/>
  <c r="J24"/>
  <c r="K24"/>
  <c r="L24"/>
  <c r="M24"/>
  <c r="N24"/>
  <c r="O24"/>
  <c r="P24"/>
  <c r="Q24"/>
  <c r="R24"/>
  <c r="S24"/>
  <c r="T24"/>
  <c r="U24"/>
  <c r="G25"/>
  <c r="H25"/>
  <c r="I25"/>
  <c r="J25"/>
  <c r="K25"/>
  <c r="L25"/>
  <c r="M25"/>
  <c r="N25"/>
  <c r="O25"/>
  <c r="P25"/>
  <c r="Q25"/>
  <c r="R25"/>
  <c r="S25"/>
  <c r="T25"/>
  <c r="U25"/>
  <c r="G26"/>
  <c r="H26"/>
  <c r="I26"/>
  <c r="J26"/>
  <c r="K26"/>
  <c r="L26"/>
  <c r="M26"/>
  <c r="N26"/>
  <c r="O26"/>
  <c r="P26"/>
  <c r="Q26"/>
  <c r="R26"/>
  <c r="S26"/>
  <c r="T26"/>
  <c r="U26"/>
  <c r="G27"/>
  <c r="H27"/>
  <c r="I27"/>
  <c r="J27"/>
  <c r="K27"/>
  <c r="L27"/>
  <c r="M27"/>
  <c r="N27"/>
  <c r="O27"/>
  <c r="P27"/>
  <c r="Q27"/>
  <c r="R27"/>
  <c r="S27"/>
  <c r="T27"/>
  <c r="U27"/>
  <c r="G28"/>
  <c r="H28"/>
  <c r="I28"/>
  <c r="J28"/>
  <c r="K28"/>
  <c r="L28"/>
  <c r="M28"/>
  <c r="N28"/>
  <c r="O28"/>
  <c r="P28"/>
  <c r="Q28"/>
  <c r="R28"/>
  <c r="S28"/>
  <c r="T28"/>
  <c r="U28"/>
  <c r="E29"/>
  <c r="G29" s="1"/>
  <c r="H29"/>
  <c r="I29"/>
  <c r="J29"/>
  <c r="K29"/>
  <c r="L29"/>
  <c r="M29"/>
  <c r="N29"/>
  <c r="O29"/>
  <c r="P29"/>
  <c r="Q29"/>
  <c r="R29"/>
  <c r="S29"/>
  <c r="T29"/>
  <c r="U29"/>
  <c r="G30"/>
  <c r="H30"/>
  <c r="I30"/>
  <c r="J30"/>
  <c r="K30"/>
  <c r="L30"/>
  <c r="M30"/>
  <c r="N30"/>
  <c r="O30"/>
  <c r="P30"/>
  <c r="Q30"/>
  <c r="R30"/>
  <c r="S30"/>
  <c r="T30"/>
  <c r="U30"/>
  <c r="G31"/>
  <c r="H31"/>
  <c r="I31"/>
  <c r="J31"/>
  <c r="K31"/>
  <c r="L31"/>
  <c r="M31"/>
  <c r="N31"/>
  <c r="O31"/>
  <c r="P31"/>
  <c r="Q31"/>
  <c r="R31"/>
  <c r="S31"/>
  <c r="T31"/>
  <c r="U31"/>
  <c r="G32"/>
  <c r="H32"/>
  <c r="I32"/>
  <c r="J32"/>
  <c r="K32"/>
  <c r="L32"/>
  <c r="M32"/>
  <c r="N32"/>
  <c r="O32"/>
  <c r="P32"/>
  <c r="Q32"/>
  <c r="R32"/>
  <c r="S32"/>
  <c r="T32"/>
  <c r="U32"/>
  <c r="G33"/>
  <c r="H33"/>
  <c r="I33"/>
  <c r="J33"/>
  <c r="K33"/>
  <c r="L33"/>
  <c r="M33"/>
  <c r="N33"/>
  <c r="O33"/>
  <c r="P33"/>
  <c r="Q33"/>
  <c r="R33"/>
  <c r="S33"/>
  <c r="T33"/>
  <c r="U33"/>
  <c r="E34"/>
  <c r="G34" s="1"/>
  <c r="H34"/>
  <c r="I34"/>
  <c r="J34"/>
  <c r="K34"/>
  <c r="L34"/>
  <c r="M34"/>
  <c r="N34"/>
  <c r="O34"/>
  <c r="P34"/>
  <c r="Q34"/>
  <c r="R34"/>
  <c r="S34"/>
  <c r="T34"/>
  <c r="U34"/>
  <c r="G35"/>
  <c r="H35"/>
  <c r="I35"/>
  <c r="J35"/>
  <c r="K35"/>
  <c r="L35"/>
  <c r="M35"/>
  <c r="N35"/>
  <c r="O35"/>
  <c r="P35"/>
  <c r="Q35"/>
  <c r="R35"/>
  <c r="S35"/>
  <c r="T35"/>
  <c r="U35"/>
  <c r="G36"/>
  <c r="H36"/>
  <c r="I36"/>
  <c r="J36"/>
  <c r="K36"/>
  <c r="L36"/>
  <c r="M36"/>
  <c r="N36"/>
  <c r="O36"/>
  <c r="P36"/>
  <c r="Q36"/>
  <c r="R36"/>
  <c r="S36"/>
  <c r="T36"/>
  <c r="U36"/>
  <c r="G37"/>
  <c r="H37"/>
  <c r="I37"/>
  <c r="J37"/>
  <c r="K37"/>
  <c r="L37"/>
  <c r="M37"/>
  <c r="N37"/>
  <c r="O37"/>
  <c r="P37"/>
  <c r="Q37"/>
  <c r="R37"/>
  <c r="S37"/>
  <c r="T37"/>
  <c r="U37"/>
  <c r="G38"/>
  <c r="H38"/>
  <c r="I38"/>
  <c r="J38"/>
  <c r="K38"/>
  <c r="L38"/>
  <c r="M38"/>
  <c r="N38"/>
  <c r="O38"/>
  <c r="P38"/>
  <c r="Q38"/>
  <c r="R38"/>
  <c r="S38"/>
  <c r="T38"/>
  <c r="U38"/>
  <c r="E39"/>
  <c r="G39" s="1"/>
  <c r="H39"/>
  <c r="I39"/>
  <c r="J39"/>
  <c r="K39"/>
  <c r="L39"/>
  <c r="M39"/>
  <c r="N39"/>
  <c r="O39"/>
  <c r="P39"/>
  <c r="Q39"/>
  <c r="R39"/>
  <c r="S39"/>
  <c r="T39"/>
  <c r="U39"/>
  <c r="G40"/>
  <c r="H40"/>
  <c r="I40"/>
  <c r="J40"/>
  <c r="K40"/>
  <c r="L40"/>
  <c r="M40"/>
  <c r="N40"/>
  <c r="O40"/>
  <c r="P40"/>
  <c r="Q40"/>
  <c r="R40"/>
  <c r="S40"/>
  <c r="T40"/>
  <c r="U40"/>
  <c r="G41"/>
  <c r="H41"/>
  <c r="I41"/>
  <c r="J41"/>
  <c r="K41"/>
  <c r="L41"/>
  <c r="M41"/>
  <c r="N41"/>
  <c r="O41"/>
  <c r="P41"/>
  <c r="Q41"/>
  <c r="R41"/>
  <c r="S41"/>
  <c r="T41"/>
  <c r="U41"/>
  <c r="G42"/>
  <c r="H42"/>
  <c r="I42"/>
  <c r="J42"/>
  <c r="K42"/>
  <c r="L42"/>
  <c r="M42"/>
  <c r="N42"/>
  <c r="O42"/>
  <c r="P42"/>
  <c r="Q42"/>
  <c r="R42"/>
  <c r="S42"/>
  <c r="T42"/>
  <c r="U42"/>
  <c r="G43"/>
  <c r="H43"/>
  <c r="I43"/>
  <c r="J43"/>
  <c r="K43"/>
  <c r="L43"/>
  <c r="M43"/>
  <c r="N43"/>
  <c r="O43"/>
  <c r="P43"/>
  <c r="Q43"/>
  <c r="R43"/>
  <c r="S43"/>
  <c r="T43"/>
  <c r="U43"/>
  <c r="E44"/>
  <c r="G44" s="1"/>
  <c r="H44"/>
  <c r="I44"/>
  <c r="J44"/>
  <c r="K44"/>
  <c r="L44"/>
  <c r="M44"/>
  <c r="N44"/>
  <c r="O44"/>
  <c r="P44"/>
  <c r="Q44"/>
  <c r="R44"/>
  <c r="S44"/>
  <c r="T44"/>
  <c r="U44"/>
  <c r="G45"/>
  <c r="H45"/>
  <c r="I45"/>
  <c r="J45"/>
  <c r="K45"/>
  <c r="L45"/>
  <c r="M45"/>
  <c r="N45"/>
  <c r="O45"/>
  <c r="P45"/>
  <c r="Q45"/>
  <c r="R45"/>
  <c r="S45"/>
  <c r="T45"/>
  <c r="U45"/>
  <c r="G49"/>
  <c r="H49"/>
  <c r="I49"/>
  <c r="J49"/>
  <c r="K49"/>
  <c r="L49"/>
  <c r="M49"/>
  <c r="N49"/>
  <c r="O49"/>
  <c r="P49"/>
  <c r="Q49"/>
  <c r="R49"/>
  <c r="S49"/>
  <c r="T49"/>
  <c r="U49"/>
  <c r="G50"/>
  <c r="H50"/>
  <c r="I50"/>
  <c r="J50"/>
  <c r="K50"/>
  <c r="L50"/>
  <c r="M50"/>
  <c r="N50"/>
  <c r="O50"/>
  <c r="P50"/>
  <c r="Q50"/>
  <c r="R50"/>
  <c r="S50"/>
  <c r="T50"/>
  <c r="U50"/>
  <c r="G51"/>
  <c r="H51"/>
  <c r="I51"/>
  <c r="J51"/>
  <c r="K51"/>
  <c r="L51"/>
  <c r="M51"/>
  <c r="N51"/>
  <c r="O51"/>
  <c r="P51"/>
  <c r="Q51"/>
  <c r="R51"/>
  <c r="S51"/>
  <c r="T51"/>
  <c r="U51"/>
  <c r="G52"/>
  <c r="H52"/>
  <c r="I52"/>
  <c r="J52"/>
  <c r="K52"/>
  <c r="L52"/>
  <c r="M52"/>
  <c r="N52"/>
  <c r="O52"/>
  <c r="P52"/>
  <c r="Q52"/>
  <c r="R52"/>
  <c r="S52"/>
  <c r="T52"/>
  <c r="U52"/>
  <c r="G53"/>
  <c r="H53"/>
  <c r="I53"/>
  <c r="J53"/>
  <c r="K53"/>
  <c r="L53"/>
  <c r="M53"/>
  <c r="N53"/>
  <c r="O53"/>
  <c r="P53"/>
  <c r="Q53"/>
  <c r="R53"/>
  <c r="S53"/>
  <c r="T53"/>
  <c r="U53"/>
  <c r="E54"/>
  <c r="G54" s="1"/>
  <c r="H54"/>
  <c r="I54"/>
  <c r="J54"/>
  <c r="K54"/>
  <c r="L54"/>
  <c r="M54"/>
  <c r="N54"/>
  <c r="O54"/>
  <c r="P54"/>
  <c r="Q54"/>
  <c r="R54"/>
  <c r="S54"/>
  <c r="T54"/>
  <c r="U54"/>
  <c r="G55"/>
  <c r="H55"/>
  <c r="I55"/>
  <c r="J55"/>
  <c r="K55"/>
  <c r="L55"/>
  <c r="M55"/>
  <c r="N55"/>
  <c r="O55"/>
  <c r="P55"/>
  <c r="Q55"/>
  <c r="R55"/>
  <c r="S55"/>
  <c r="T55"/>
  <c r="U55"/>
  <c r="G56"/>
  <c r="H56"/>
  <c r="I56"/>
  <c r="J56"/>
  <c r="K56"/>
  <c r="L56"/>
  <c r="M56"/>
  <c r="N56"/>
  <c r="O56"/>
  <c r="P56"/>
  <c r="Q56"/>
  <c r="R56"/>
  <c r="S56"/>
  <c r="T56"/>
  <c r="U56"/>
  <c r="G57"/>
  <c r="H57"/>
  <c r="I57"/>
  <c r="J57"/>
  <c r="K57"/>
  <c r="L57"/>
  <c r="M57"/>
  <c r="N57"/>
  <c r="O57"/>
  <c r="P57"/>
  <c r="Q57"/>
  <c r="R57"/>
  <c r="S57"/>
  <c r="T57"/>
  <c r="U57"/>
  <c r="G58"/>
  <c r="H58"/>
  <c r="I58"/>
  <c r="J58"/>
  <c r="K58"/>
  <c r="L58"/>
  <c r="M58"/>
  <c r="N58"/>
  <c r="O58"/>
  <c r="P58"/>
  <c r="Q58"/>
  <c r="R58"/>
  <c r="S58"/>
  <c r="T58"/>
  <c r="U58"/>
  <c r="G59"/>
  <c r="H59"/>
  <c r="I59"/>
  <c r="J59"/>
  <c r="K59"/>
  <c r="L59"/>
  <c r="M59"/>
  <c r="N59"/>
  <c r="O59"/>
  <c r="P59"/>
  <c r="Q59"/>
  <c r="R59"/>
  <c r="S59"/>
  <c r="T59"/>
  <c r="U59"/>
  <c r="E60"/>
  <c r="G60" s="1"/>
  <c r="H60"/>
  <c r="I60"/>
  <c r="J60"/>
  <c r="K60"/>
  <c r="L60"/>
  <c r="M60"/>
  <c r="N60"/>
  <c r="O60"/>
  <c r="P60"/>
  <c r="Q60"/>
  <c r="R60"/>
  <c r="S60"/>
  <c r="T60"/>
  <c r="U60"/>
  <c r="G61"/>
  <c r="H61"/>
  <c r="I61"/>
  <c r="J61"/>
  <c r="K61"/>
  <c r="L61"/>
  <c r="M61"/>
  <c r="N61"/>
  <c r="O61"/>
  <c r="P61"/>
  <c r="Q61"/>
  <c r="R61"/>
  <c r="S61"/>
  <c r="T61"/>
  <c r="U61"/>
  <c r="G62"/>
  <c r="H62"/>
  <c r="I62"/>
  <c r="J62"/>
  <c r="K62"/>
  <c r="L62"/>
  <c r="M62"/>
  <c r="N62"/>
  <c r="O62"/>
  <c r="P62"/>
  <c r="Q62"/>
  <c r="R62"/>
  <c r="S62"/>
  <c r="T62"/>
  <c r="U62"/>
  <c r="G63"/>
  <c r="H63"/>
  <c r="I63"/>
  <c r="J63"/>
  <c r="K63"/>
  <c r="L63"/>
  <c r="M63"/>
  <c r="N63"/>
  <c r="O63"/>
  <c r="P63"/>
  <c r="Q63"/>
  <c r="R63"/>
  <c r="S63"/>
  <c r="T63"/>
  <c r="U63"/>
  <c r="E64"/>
  <c r="G64" s="1"/>
  <c r="H64"/>
  <c r="I64"/>
  <c r="J64"/>
  <c r="K64"/>
  <c r="L64"/>
  <c r="M64"/>
  <c r="N64"/>
  <c r="O64"/>
  <c r="P64"/>
  <c r="Q64"/>
  <c r="R64"/>
  <c r="S64"/>
  <c r="T64"/>
  <c r="U64"/>
  <c r="G65"/>
  <c r="H65"/>
  <c r="I65"/>
  <c r="J65"/>
  <c r="K65"/>
  <c r="L65"/>
  <c r="M65"/>
  <c r="N65"/>
  <c r="O65"/>
  <c r="P65"/>
  <c r="Q65"/>
  <c r="R65"/>
  <c r="S65"/>
  <c r="T65"/>
  <c r="U65"/>
  <c r="G66"/>
  <c r="H66"/>
  <c r="I66"/>
  <c r="J66"/>
  <c r="K66"/>
  <c r="L66"/>
  <c r="M66"/>
  <c r="N66"/>
  <c r="O66"/>
  <c r="P66"/>
  <c r="Q66"/>
  <c r="R66"/>
  <c r="S66"/>
  <c r="T66"/>
  <c r="U66"/>
  <c r="G67"/>
  <c r="H67"/>
  <c r="I67"/>
  <c r="J67"/>
  <c r="K67"/>
  <c r="L67"/>
  <c r="M67"/>
  <c r="N67"/>
  <c r="O67"/>
  <c r="P67"/>
  <c r="Q67"/>
  <c r="R67"/>
  <c r="S67"/>
  <c r="T67"/>
  <c r="U67"/>
  <c r="G68"/>
  <c r="H68"/>
  <c r="I68"/>
  <c r="J68"/>
  <c r="K68"/>
  <c r="L68"/>
  <c r="M68"/>
  <c r="N68"/>
  <c r="O68"/>
  <c r="P68"/>
  <c r="Q68"/>
  <c r="R68"/>
  <c r="S68"/>
  <c r="T68"/>
  <c r="U68"/>
  <c r="E69"/>
  <c r="G69" s="1"/>
  <c r="H69"/>
  <c r="I69"/>
  <c r="J69"/>
  <c r="K69"/>
  <c r="L69"/>
  <c r="M69"/>
  <c r="N69"/>
  <c r="O69"/>
  <c r="P69"/>
  <c r="Q69"/>
  <c r="R69"/>
  <c r="S69"/>
  <c r="T69"/>
  <c r="U69"/>
  <c r="G70"/>
  <c r="H70"/>
  <c r="I70"/>
  <c r="J70"/>
  <c r="K70"/>
  <c r="L70"/>
  <c r="M70"/>
  <c r="N70"/>
  <c r="O70"/>
  <c r="P70"/>
  <c r="Q70"/>
  <c r="R70"/>
  <c r="S70"/>
  <c r="T70"/>
  <c r="U70"/>
  <c r="G71"/>
  <c r="H71"/>
  <c r="I71"/>
  <c r="J71"/>
  <c r="K71"/>
  <c r="L71"/>
  <c r="M71"/>
  <c r="N71"/>
  <c r="O71"/>
  <c r="P71"/>
  <c r="Q71"/>
  <c r="R71"/>
  <c r="S71"/>
  <c r="T71"/>
  <c r="U71"/>
  <c r="G72"/>
  <c r="H72"/>
  <c r="I72"/>
  <c r="J72"/>
  <c r="K72"/>
  <c r="L72"/>
  <c r="M72"/>
  <c r="N72"/>
  <c r="O72"/>
  <c r="P72"/>
  <c r="Q72"/>
  <c r="R72"/>
  <c r="S72"/>
  <c r="T72"/>
  <c r="U72"/>
  <c r="G73"/>
  <c r="H73"/>
  <c r="I73"/>
  <c r="J73"/>
  <c r="K73"/>
  <c r="L73"/>
  <c r="M73"/>
  <c r="N73"/>
  <c r="O73"/>
  <c r="P73"/>
  <c r="Q73"/>
  <c r="R73"/>
  <c r="S73"/>
  <c r="T73"/>
  <c r="U73"/>
  <c r="E74"/>
  <c r="G74" s="1"/>
  <c r="H74"/>
  <c r="I74"/>
  <c r="J74"/>
  <c r="K74"/>
  <c r="L74"/>
  <c r="M74"/>
  <c r="N74"/>
  <c r="O74"/>
  <c r="P74"/>
  <c r="Q74"/>
  <c r="R74"/>
  <c r="S74"/>
  <c r="T74"/>
  <c r="U74"/>
  <c r="G75"/>
  <c r="H75"/>
  <c r="I75"/>
  <c r="J75"/>
  <c r="K75"/>
  <c r="L75"/>
  <c r="M75"/>
  <c r="N75"/>
  <c r="O75"/>
  <c r="P75"/>
  <c r="Q75"/>
  <c r="R75"/>
  <c r="S75"/>
  <c r="T75"/>
  <c r="U75"/>
  <c r="G76"/>
  <c r="H76"/>
  <c r="I76"/>
  <c r="J76"/>
  <c r="K76"/>
  <c r="L76"/>
  <c r="M76"/>
  <c r="N76"/>
  <c r="O76"/>
  <c r="P76"/>
  <c r="Q76"/>
  <c r="R76"/>
  <c r="S76"/>
  <c r="T76"/>
  <c r="U76"/>
  <c r="G77"/>
  <c r="H77"/>
  <c r="I77"/>
  <c r="J77"/>
  <c r="K77"/>
  <c r="L77"/>
  <c r="M77"/>
  <c r="N77"/>
  <c r="O77"/>
  <c r="P77"/>
  <c r="Q77"/>
  <c r="R77"/>
  <c r="S77"/>
  <c r="T77"/>
  <c r="U77"/>
  <c r="G78"/>
  <c r="H78"/>
  <c r="I78"/>
  <c r="J78"/>
  <c r="K78"/>
  <c r="L78"/>
  <c r="M78"/>
  <c r="N78"/>
  <c r="O78"/>
  <c r="P78"/>
  <c r="Q78"/>
  <c r="R78"/>
  <c r="S78"/>
  <c r="T78"/>
  <c r="U78"/>
  <c r="E79"/>
  <c r="G79" s="1"/>
  <c r="H79"/>
  <c r="I79"/>
  <c r="J79"/>
  <c r="K79"/>
  <c r="L79"/>
  <c r="M79"/>
  <c r="N79"/>
  <c r="O79"/>
  <c r="P79"/>
  <c r="Q79"/>
  <c r="R79"/>
  <c r="S79"/>
  <c r="T79"/>
  <c r="U79"/>
  <c r="G80"/>
  <c r="H80"/>
  <c r="I80"/>
  <c r="J80"/>
  <c r="K80"/>
  <c r="L80"/>
  <c r="M80"/>
  <c r="N80"/>
  <c r="O80"/>
  <c r="P80"/>
  <c r="Q80"/>
  <c r="R80"/>
  <c r="S80"/>
  <c r="T80"/>
  <c r="U80"/>
  <c r="G81"/>
  <c r="H81"/>
  <c r="I81"/>
  <c r="J81"/>
  <c r="K81"/>
  <c r="L81"/>
  <c r="M81"/>
  <c r="N81"/>
  <c r="O81"/>
  <c r="P81"/>
  <c r="Q81"/>
  <c r="R81"/>
  <c r="S81"/>
  <c r="T81"/>
  <c r="U81"/>
  <c r="G82"/>
  <c r="H82"/>
  <c r="I82"/>
  <c r="J82"/>
  <c r="K82"/>
  <c r="L82"/>
  <c r="M82"/>
  <c r="N82"/>
  <c r="O82"/>
  <c r="P82"/>
  <c r="Q82"/>
  <c r="R82"/>
  <c r="S82"/>
  <c r="T82"/>
  <c r="U82"/>
  <c r="G83"/>
  <c r="H83"/>
  <c r="I83"/>
  <c r="J83"/>
  <c r="K83"/>
  <c r="L83"/>
  <c r="M83"/>
  <c r="N83"/>
  <c r="O83"/>
  <c r="P83"/>
  <c r="Q83"/>
  <c r="R83"/>
  <c r="S83"/>
  <c r="T83"/>
  <c r="U83"/>
  <c r="G84"/>
  <c r="H84"/>
  <c r="I84"/>
  <c r="J84"/>
  <c r="K84"/>
  <c r="L84"/>
  <c r="M84"/>
  <c r="N84"/>
  <c r="O84"/>
  <c r="P84"/>
  <c r="Q84"/>
  <c r="R84"/>
  <c r="S84"/>
  <c r="T84"/>
  <c r="U84"/>
  <c r="E85"/>
  <c r="G85" s="1"/>
  <c r="H85"/>
  <c r="I85"/>
  <c r="J85"/>
  <c r="K85"/>
  <c r="L85"/>
  <c r="M85"/>
  <c r="N85"/>
  <c r="O85"/>
  <c r="P85"/>
  <c r="Q85"/>
  <c r="R85"/>
  <c r="S85"/>
  <c r="T85"/>
  <c r="U85"/>
  <c r="G86"/>
  <c r="H86"/>
  <c r="I86"/>
  <c r="J86"/>
  <c r="K86"/>
  <c r="L86"/>
  <c r="M86"/>
  <c r="N86"/>
  <c r="O86"/>
  <c r="P86"/>
  <c r="Q86"/>
  <c r="R86"/>
  <c r="S86"/>
  <c r="T86"/>
  <c r="U86"/>
  <c r="G87"/>
  <c r="H87"/>
  <c r="I87"/>
  <c r="J87"/>
  <c r="K87"/>
  <c r="L87"/>
  <c r="M87"/>
  <c r="N87"/>
  <c r="O87"/>
  <c r="P87"/>
  <c r="Q87"/>
  <c r="R87"/>
  <c r="S87"/>
  <c r="T87"/>
  <c r="U87"/>
  <c r="G88"/>
  <c r="H88"/>
  <c r="I88"/>
  <c r="J88"/>
  <c r="K88"/>
  <c r="L88"/>
  <c r="M88"/>
  <c r="N88"/>
  <c r="O88"/>
  <c r="P88"/>
  <c r="Q88"/>
  <c r="R88"/>
  <c r="S88"/>
  <c r="T88"/>
  <c r="U88"/>
  <c r="G89"/>
  <c r="H89"/>
  <c r="I89"/>
  <c r="J89"/>
  <c r="K89"/>
  <c r="L89"/>
  <c r="M89"/>
  <c r="N89"/>
  <c r="O89"/>
  <c r="P89"/>
  <c r="Q89"/>
  <c r="R89"/>
  <c r="S89"/>
  <c r="T89"/>
  <c r="U89"/>
  <c r="G90"/>
  <c r="H90"/>
  <c r="I90"/>
  <c r="J90"/>
  <c r="K90"/>
  <c r="L90"/>
  <c r="M90"/>
  <c r="N90"/>
  <c r="O90"/>
  <c r="P90"/>
  <c r="Q90"/>
  <c r="R90"/>
  <c r="S90"/>
  <c r="T90"/>
  <c r="U90"/>
  <c r="E91"/>
  <c r="G91" s="1"/>
  <c r="H91"/>
  <c r="I91"/>
  <c r="J91"/>
  <c r="K91"/>
  <c r="L91"/>
  <c r="M91"/>
  <c r="N91"/>
  <c r="O91"/>
  <c r="P91"/>
  <c r="Q91"/>
  <c r="R91"/>
  <c r="S91"/>
  <c r="T91"/>
  <c r="U91"/>
  <c r="G92"/>
  <c r="H92"/>
  <c r="I92"/>
  <c r="J92"/>
  <c r="K92"/>
  <c r="L92"/>
  <c r="M92"/>
  <c r="N92"/>
  <c r="O92"/>
  <c r="P92"/>
  <c r="Q92"/>
  <c r="R92"/>
  <c r="S92"/>
  <c r="T92"/>
  <c r="U92"/>
  <c r="G93"/>
  <c r="H93"/>
  <c r="I93"/>
  <c r="J93"/>
  <c r="K93"/>
  <c r="L93"/>
  <c r="M93"/>
  <c r="N93"/>
  <c r="O93"/>
  <c r="P93"/>
  <c r="Q93"/>
  <c r="R93"/>
  <c r="S93"/>
  <c r="T93"/>
  <c r="U93"/>
  <c r="G94"/>
  <c r="H94"/>
  <c r="I94"/>
  <c r="J94"/>
  <c r="K94"/>
  <c r="L94"/>
  <c r="M94"/>
  <c r="N94"/>
  <c r="O94"/>
  <c r="P94"/>
  <c r="Q94"/>
  <c r="R94"/>
  <c r="S94"/>
  <c r="T94"/>
  <c r="U94"/>
  <c r="G95"/>
  <c r="H95"/>
  <c r="I95"/>
  <c r="J95"/>
  <c r="K95"/>
  <c r="L95"/>
  <c r="M95"/>
  <c r="N95"/>
  <c r="O95"/>
  <c r="P95"/>
  <c r="Q95"/>
  <c r="R95"/>
  <c r="S95"/>
  <c r="T95"/>
  <c r="U95"/>
  <c r="G96"/>
  <c r="H96"/>
  <c r="I96"/>
  <c r="J96"/>
  <c r="K96"/>
  <c r="L96"/>
  <c r="M96"/>
  <c r="N96"/>
  <c r="O96"/>
  <c r="P96"/>
  <c r="Q96"/>
  <c r="R96"/>
  <c r="S96"/>
  <c r="T96"/>
  <c r="U96"/>
  <c r="E97"/>
  <c r="G97" s="1"/>
  <c r="H97"/>
  <c r="I97"/>
  <c r="J97"/>
  <c r="K97"/>
  <c r="L97"/>
  <c r="M97"/>
  <c r="N97"/>
  <c r="O97"/>
  <c r="P97"/>
  <c r="Q97"/>
  <c r="R97"/>
  <c r="S97"/>
  <c r="T97"/>
  <c r="U97"/>
  <c r="G98"/>
  <c r="H98"/>
  <c r="I98"/>
  <c r="J98"/>
  <c r="K98"/>
  <c r="L98"/>
  <c r="M98"/>
  <c r="N98"/>
  <c r="O98"/>
  <c r="P98"/>
  <c r="Q98"/>
  <c r="R98"/>
  <c r="S98"/>
  <c r="T98"/>
  <c r="U98"/>
  <c r="G99"/>
  <c r="H99"/>
  <c r="I99"/>
  <c r="J99"/>
  <c r="K99"/>
  <c r="L99"/>
  <c r="M99"/>
  <c r="N99"/>
  <c r="O99"/>
  <c r="P99"/>
  <c r="Q99"/>
  <c r="R99"/>
  <c r="S99"/>
  <c r="T99"/>
  <c r="U99"/>
  <c r="G100"/>
  <c r="H100"/>
  <c r="I100"/>
  <c r="J100"/>
  <c r="K100"/>
  <c r="L100"/>
  <c r="M100"/>
  <c r="N100"/>
  <c r="O100"/>
  <c r="P100"/>
  <c r="Q100"/>
  <c r="R100"/>
  <c r="S100"/>
  <c r="T100"/>
  <c r="U100"/>
  <c r="G101"/>
  <c r="H101"/>
  <c r="I101"/>
  <c r="J101"/>
  <c r="K101"/>
  <c r="L101"/>
  <c r="M101"/>
  <c r="N101"/>
  <c r="O101"/>
  <c r="P101"/>
  <c r="Q101"/>
  <c r="R101"/>
  <c r="S101"/>
  <c r="T101"/>
  <c r="U101"/>
  <c r="G102"/>
  <c r="H102"/>
  <c r="I102"/>
  <c r="J102"/>
  <c r="K102"/>
  <c r="L102"/>
  <c r="M102"/>
  <c r="N102"/>
  <c r="O102"/>
  <c r="P102"/>
  <c r="Q102"/>
  <c r="R102"/>
  <c r="S102"/>
  <c r="T102"/>
  <c r="U102"/>
  <c r="G107"/>
  <c r="H107"/>
  <c r="I107"/>
  <c r="J107"/>
  <c r="K107"/>
  <c r="L107"/>
  <c r="M107"/>
  <c r="N107"/>
  <c r="O107"/>
  <c r="P107"/>
  <c r="Q107"/>
  <c r="R107"/>
  <c r="S107"/>
  <c r="T107"/>
  <c r="U107"/>
  <c r="F27" i="37"/>
  <c r="F26"/>
  <c r="M24"/>
  <c r="M20"/>
  <c r="M17"/>
  <c r="L13"/>
  <c r="H13"/>
  <c r="K13" s="1"/>
  <c r="L12"/>
  <c r="H12"/>
  <c r="K12" s="1"/>
  <c r="L10"/>
  <c r="K10"/>
  <c r="L9"/>
  <c r="H9"/>
  <c r="K9" s="1"/>
  <c r="R7" i="35"/>
  <c r="P7"/>
  <c r="N7"/>
  <c r="L255" i="36"/>
  <c r="P232"/>
  <c r="O226"/>
  <c r="M225"/>
  <c r="I225"/>
  <c r="M224"/>
  <c r="I224"/>
  <c r="M223"/>
  <c r="I223"/>
  <c r="O223" s="1"/>
  <c r="M222"/>
  <c r="M221"/>
  <c r="M210"/>
  <c r="I210"/>
  <c r="N210" s="1"/>
  <c r="M209"/>
  <c r="I209"/>
  <c r="M208"/>
  <c r="I208"/>
  <c r="T208" s="1"/>
  <c r="M207"/>
  <c r="I207"/>
  <c r="Q207" s="1"/>
  <c r="M206"/>
  <c r="O206" s="1"/>
  <c r="T206"/>
  <c r="T205"/>
  <c r="S205"/>
  <c r="R205"/>
  <c r="Q205"/>
  <c r="M205"/>
  <c r="O205" s="1"/>
  <c r="M204"/>
  <c r="I204"/>
  <c r="S204" s="1"/>
  <c r="M203"/>
  <c r="I203"/>
  <c r="S203" s="1"/>
  <c r="S202"/>
  <c r="R202"/>
  <c r="Q202"/>
  <c r="M201"/>
  <c r="I201"/>
  <c r="M200"/>
  <c r="I200"/>
  <c r="N200" s="1"/>
  <c r="V199"/>
  <c r="U199"/>
  <c r="T199"/>
  <c r="M199"/>
  <c r="N199" s="1"/>
  <c r="I199"/>
  <c r="V198"/>
  <c r="U198"/>
  <c r="T198"/>
  <c r="M198"/>
  <c r="O198" s="1"/>
  <c r="V197"/>
  <c r="U197"/>
  <c r="T197"/>
  <c r="M197"/>
  <c r="I197"/>
  <c r="F196"/>
  <c r="M195"/>
  <c r="F195"/>
  <c r="U195" s="1"/>
  <c r="V194"/>
  <c r="U194"/>
  <c r="M193"/>
  <c r="I193"/>
  <c r="M192"/>
  <c r="I192"/>
  <c r="Q192" s="1"/>
  <c r="M191"/>
  <c r="I191"/>
  <c r="M190"/>
  <c r="T189"/>
  <c r="T194" s="1"/>
  <c r="S189"/>
  <c r="S194" s="1"/>
  <c r="R189"/>
  <c r="Q189"/>
  <c r="M189"/>
  <c r="V188"/>
  <c r="U188"/>
  <c r="T188"/>
  <c r="S188"/>
  <c r="R187"/>
  <c r="Q187"/>
  <c r="M187"/>
  <c r="N187" s="1"/>
  <c r="M186"/>
  <c r="I186"/>
  <c r="M185"/>
  <c r="I185"/>
  <c r="R185" s="1"/>
  <c r="R184"/>
  <c r="Q184"/>
  <c r="M184"/>
  <c r="M183"/>
  <c r="N183" s="1"/>
  <c r="M182"/>
  <c r="O182" s="1"/>
  <c r="R182"/>
  <c r="M181"/>
  <c r="I181"/>
  <c r="N181" s="1"/>
  <c r="M180"/>
  <c r="I180"/>
  <c r="Q180" s="1"/>
  <c r="M179"/>
  <c r="I179"/>
  <c r="M178"/>
  <c r="I178"/>
  <c r="I171"/>
  <c r="Q171" s="1"/>
  <c r="I170"/>
  <c r="V170" s="1"/>
  <c r="V172" s="1"/>
  <c r="M169"/>
  <c r="I169"/>
  <c r="S169" s="1"/>
  <c r="M168"/>
  <c r="I168"/>
  <c r="R168" s="1"/>
  <c r="M167"/>
  <c r="I167"/>
  <c r="S167" s="1"/>
  <c r="M166"/>
  <c r="I166"/>
  <c r="R166" s="1"/>
  <c r="M165"/>
  <c r="I165"/>
  <c r="R165" s="1"/>
  <c r="M164"/>
  <c r="I164"/>
  <c r="S164" s="1"/>
  <c r="M163"/>
  <c r="I163"/>
  <c r="R163" s="1"/>
  <c r="M162"/>
  <c r="I162"/>
  <c r="S162" s="1"/>
  <c r="M161"/>
  <c r="I161"/>
  <c r="R161" s="1"/>
  <c r="M160"/>
  <c r="I160"/>
  <c r="S160" s="1"/>
  <c r="M159"/>
  <c r="I159"/>
  <c r="S159" s="1"/>
  <c r="M158"/>
  <c r="I158"/>
  <c r="T158" s="1"/>
  <c r="M157"/>
  <c r="I157"/>
  <c r="S157" s="1"/>
  <c r="M156"/>
  <c r="I156"/>
  <c r="T156" s="1"/>
  <c r="M155"/>
  <c r="I155"/>
  <c r="S155" s="1"/>
  <c r="M154"/>
  <c r="I154"/>
  <c r="M153"/>
  <c r="I153"/>
  <c r="S153" s="1"/>
  <c r="M152"/>
  <c r="I152"/>
  <c r="M151"/>
  <c r="I151"/>
  <c r="S151" s="1"/>
  <c r="M150"/>
  <c r="I150"/>
  <c r="T150" s="1"/>
  <c r="M149"/>
  <c r="I149"/>
  <c r="S149" s="1"/>
  <c r="M148"/>
  <c r="I148"/>
  <c r="T148" s="1"/>
  <c r="I146"/>
  <c r="M145"/>
  <c r="I145"/>
  <c r="M144"/>
  <c r="I144"/>
  <c r="U144" s="1"/>
  <c r="M143"/>
  <c r="I143"/>
  <c r="R143" s="1"/>
  <c r="M142"/>
  <c r="I142"/>
  <c r="M141"/>
  <c r="I141"/>
  <c r="M139"/>
  <c r="I139"/>
  <c r="O135"/>
  <c r="M130"/>
  <c r="M129"/>
  <c r="G129"/>
  <c r="V129" s="1"/>
  <c r="F129"/>
  <c r="H129" s="1"/>
  <c r="M128"/>
  <c r="G128"/>
  <c r="R128" s="1"/>
  <c r="F128"/>
  <c r="H128" s="1"/>
  <c r="M127"/>
  <c r="G127"/>
  <c r="Q127" s="1"/>
  <c r="F127"/>
  <c r="H127" s="1"/>
  <c r="M126"/>
  <c r="G126"/>
  <c r="T126" s="1"/>
  <c r="F126"/>
  <c r="H126" s="1"/>
  <c r="M124"/>
  <c r="F124"/>
  <c r="H124" s="1"/>
  <c r="I124" s="1"/>
  <c r="M123"/>
  <c r="G123"/>
  <c r="S123" s="1"/>
  <c r="F123"/>
  <c r="H123" s="1"/>
  <c r="V122"/>
  <c r="U122"/>
  <c r="T122"/>
  <c r="S122"/>
  <c r="R122"/>
  <c r="Q122"/>
  <c r="M122"/>
  <c r="F122"/>
  <c r="H122" s="1"/>
  <c r="V121"/>
  <c r="U121"/>
  <c r="T121"/>
  <c r="S121"/>
  <c r="R121"/>
  <c r="Q121"/>
  <c r="M121"/>
  <c r="O121" s="1"/>
  <c r="V120"/>
  <c r="U120"/>
  <c r="T120"/>
  <c r="S120"/>
  <c r="R120"/>
  <c r="Q120"/>
  <c r="M120"/>
  <c r="O120" s="1"/>
  <c r="V118"/>
  <c r="U118"/>
  <c r="T118"/>
  <c r="S118"/>
  <c r="R118"/>
  <c r="Q118"/>
  <c r="M118"/>
  <c r="I118"/>
  <c r="M117"/>
  <c r="F117"/>
  <c r="I117" s="1"/>
  <c r="M116"/>
  <c r="F116"/>
  <c r="I116" s="1"/>
  <c r="M115"/>
  <c r="F115"/>
  <c r="I115" s="1"/>
  <c r="M114"/>
  <c r="F114"/>
  <c r="I114" s="1"/>
  <c r="U112"/>
  <c r="S112"/>
  <c r="Q112"/>
  <c r="V112"/>
  <c r="H112"/>
  <c r="V111"/>
  <c r="U111"/>
  <c r="T111"/>
  <c r="S111"/>
  <c r="R111"/>
  <c r="Q111"/>
  <c r="V110"/>
  <c r="H110"/>
  <c r="V109"/>
  <c r="T109"/>
  <c r="R109"/>
  <c r="M109"/>
  <c r="U109"/>
  <c r="U108"/>
  <c r="S108"/>
  <c r="Q108"/>
  <c r="L108"/>
  <c r="M108" s="1"/>
  <c r="V108"/>
  <c r="H108"/>
  <c r="I108" s="1"/>
  <c r="V107"/>
  <c r="U107"/>
  <c r="T107"/>
  <c r="S107"/>
  <c r="R107"/>
  <c r="Q107"/>
  <c r="L107"/>
  <c r="M107" s="1"/>
  <c r="F107"/>
  <c r="H107" s="1"/>
  <c r="I107" s="1"/>
  <c r="L106"/>
  <c r="M106" s="1"/>
  <c r="G106"/>
  <c r="V106" s="1"/>
  <c r="F106"/>
  <c r="H106" s="1"/>
  <c r="L105"/>
  <c r="M105" s="1"/>
  <c r="G105"/>
  <c r="V105" s="1"/>
  <c r="F105"/>
  <c r="H105" s="1"/>
  <c r="L104"/>
  <c r="M104" s="1"/>
  <c r="G104"/>
  <c r="V104" s="1"/>
  <c r="F104"/>
  <c r="H104" s="1"/>
  <c r="L103"/>
  <c r="M103" s="1"/>
  <c r="G103"/>
  <c r="V103" s="1"/>
  <c r="L102"/>
  <c r="M102" s="1"/>
  <c r="V102"/>
  <c r="L101"/>
  <c r="M101" s="1"/>
  <c r="V101"/>
  <c r="F101"/>
  <c r="I101" s="1"/>
  <c r="L100"/>
  <c r="M100" s="1"/>
  <c r="V100"/>
  <c r="V99"/>
  <c r="U99"/>
  <c r="T99"/>
  <c r="S99"/>
  <c r="R99"/>
  <c r="Q99"/>
  <c r="L99"/>
  <c r="M99" s="1"/>
  <c r="I99"/>
  <c r="U98"/>
  <c r="S98"/>
  <c r="Q98"/>
  <c r="L98"/>
  <c r="M98" s="1"/>
  <c r="V98"/>
  <c r="L97"/>
  <c r="M97" s="1"/>
  <c r="G97"/>
  <c r="R97" s="1"/>
  <c r="R113" s="1"/>
  <c r="F97"/>
  <c r="H97" s="1"/>
  <c r="G95"/>
  <c r="V95" s="1"/>
  <c r="G94"/>
  <c r="T94" s="1"/>
  <c r="G93"/>
  <c r="S93" s="1"/>
  <c r="G92"/>
  <c r="S92" s="1"/>
  <c r="G91"/>
  <c r="Q91" s="1"/>
  <c r="G90"/>
  <c r="T90" s="1"/>
  <c r="G89"/>
  <c r="V89" s="1"/>
  <c r="G87"/>
  <c r="R87" s="1"/>
  <c r="F87"/>
  <c r="U86"/>
  <c r="S86"/>
  <c r="Q86"/>
  <c r="V86"/>
  <c r="F86"/>
  <c r="U85"/>
  <c r="S85"/>
  <c r="Q85"/>
  <c r="V85"/>
  <c r="H85"/>
  <c r="U84"/>
  <c r="S84"/>
  <c r="Q84"/>
  <c r="V84"/>
  <c r="H84"/>
  <c r="I84" s="1"/>
  <c r="U83"/>
  <c r="S83"/>
  <c r="Q83"/>
  <c r="V83"/>
  <c r="H83"/>
  <c r="I83" s="1"/>
  <c r="G82"/>
  <c r="Q82" s="1"/>
  <c r="F82"/>
  <c r="H82" s="1"/>
  <c r="G81"/>
  <c r="V81" s="1"/>
  <c r="F81"/>
  <c r="V80"/>
  <c r="U80"/>
  <c r="T80"/>
  <c r="S80"/>
  <c r="R80"/>
  <c r="Q80"/>
  <c r="F80"/>
  <c r="H80" s="1"/>
  <c r="G79"/>
  <c r="S79" s="1"/>
  <c r="S96" s="1"/>
  <c r="F79"/>
  <c r="H79" s="1"/>
  <c r="G78"/>
  <c r="U78" s="1"/>
  <c r="F78"/>
  <c r="H78" s="1"/>
  <c r="V77"/>
  <c r="U77"/>
  <c r="T77"/>
  <c r="S77"/>
  <c r="R77"/>
  <c r="Q77"/>
  <c r="L77"/>
  <c r="M77" s="1"/>
  <c r="F77"/>
  <c r="H77" s="1"/>
  <c r="I77" s="1"/>
  <c r="V76"/>
  <c r="U76"/>
  <c r="T76"/>
  <c r="S76"/>
  <c r="R76"/>
  <c r="Q76"/>
  <c r="L76"/>
  <c r="M76" s="1"/>
  <c r="F76"/>
  <c r="V75"/>
  <c r="U75"/>
  <c r="T75"/>
  <c r="S75"/>
  <c r="R75"/>
  <c r="Q75"/>
  <c r="L75"/>
  <c r="M75" s="1"/>
  <c r="F75"/>
  <c r="H75" s="1"/>
  <c r="I75" s="1"/>
  <c r="V74"/>
  <c r="U74"/>
  <c r="T74"/>
  <c r="S74"/>
  <c r="R74"/>
  <c r="Q74"/>
  <c r="L74"/>
  <c r="M74" s="1"/>
  <c r="F74"/>
  <c r="H74" s="1"/>
  <c r="V73"/>
  <c r="U73"/>
  <c r="T73"/>
  <c r="S73"/>
  <c r="R73"/>
  <c r="Q73"/>
  <c r="L73"/>
  <c r="M73" s="1"/>
  <c r="F73"/>
  <c r="H73" s="1"/>
  <c r="L72"/>
  <c r="M72" s="1"/>
  <c r="G72"/>
  <c r="V72" s="1"/>
  <c r="F72"/>
  <c r="H72" s="1"/>
  <c r="U71"/>
  <c r="S71"/>
  <c r="Q71"/>
  <c r="L71"/>
  <c r="M71" s="1"/>
  <c r="V71"/>
  <c r="H71"/>
  <c r="I71" s="1"/>
  <c r="L70"/>
  <c r="M70" s="1"/>
  <c r="G70"/>
  <c r="Q70" s="1"/>
  <c r="F70"/>
  <c r="V69"/>
  <c r="U69"/>
  <c r="T69"/>
  <c r="S69"/>
  <c r="R69"/>
  <c r="Q69"/>
  <c r="L69"/>
  <c r="M69" s="1"/>
  <c r="H69"/>
  <c r="I69" s="1"/>
  <c r="L68"/>
  <c r="M68" s="1"/>
  <c r="V68"/>
  <c r="H68"/>
  <c r="I68" s="1"/>
  <c r="G66"/>
  <c r="V66" s="1"/>
  <c r="H66"/>
  <c r="G65"/>
  <c r="H65"/>
  <c r="G64"/>
  <c r="Q64" s="1"/>
  <c r="H64"/>
  <c r="G63"/>
  <c r="U63" s="1"/>
  <c r="F63"/>
  <c r="G62"/>
  <c r="V62" s="1"/>
  <c r="F62"/>
  <c r="H62" s="1"/>
  <c r="G61"/>
  <c r="V61" s="1"/>
  <c r="F61"/>
  <c r="H61" s="1"/>
  <c r="V60"/>
  <c r="H60"/>
  <c r="I60" s="1"/>
  <c r="V59"/>
  <c r="F59"/>
  <c r="V58"/>
  <c r="F58"/>
  <c r="H58" s="1"/>
  <c r="I58" s="1"/>
  <c r="V57"/>
  <c r="F57"/>
  <c r="H57" s="1"/>
  <c r="V56"/>
  <c r="F56"/>
  <c r="H56" s="1"/>
  <c r="V55"/>
  <c r="H55"/>
  <c r="I55" s="1"/>
  <c r="G54"/>
  <c r="V54" s="1"/>
  <c r="F54"/>
  <c r="H54" s="1"/>
  <c r="G53"/>
  <c r="Q53" s="1"/>
  <c r="F53"/>
  <c r="H53" s="1"/>
  <c r="G52"/>
  <c r="Q52" s="1"/>
  <c r="F52"/>
  <c r="H52" s="1"/>
  <c r="L51"/>
  <c r="M51" s="1"/>
  <c r="G51"/>
  <c r="U51" s="1"/>
  <c r="F51"/>
  <c r="H51" s="1"/>
  <c r="V50"/>
  <c r="U50"/>
  <c r="T50"/>
  <c r="S50"/>
  <c r="R50"/>
  <c r="Q50"/>
  <c r="L50"/>
  <c r="M50" s="1"/>
  <c r="F50"/>
  <c r="H50" s="1"/>
  <c r="L49"/>
  <c r="M49" s="1"/>
  <c r="G49"/>
  <c r="U49" s="1"/>
  <c r="F49"/>
  <c r="H49" s="1"/>
  <c r="L48"/>
  <c r="M48" s="1"/>
  <c r="G48"/>
  <c r="V48" s="1"/>
  <c r="F48"/>
  <c r="H48" s="1"/>
  <c r="L47"/>
  <c r="M47" s="1"/>
  <c r="G47"/>
  <c r="L46"/>
  <c r="M46" s="1"/>
  <c r="H46"/>
  <c r="L45"/>
  <c r="M45" s="1"/>
  <c r="H45"/>
  <c r="V44"/>
  <c r="U44"/>
  <c r="T44"/>
  <c r="S44"/>
  <c r="R44"/>
  <c r="Q44"/>
  <c r="L44"/>
  <c r="M44" s="1"/>
  <c r="F44"/>
  <c r="V43"/>
  <c r="U43"/>
  <c r="T43"/>
  <c r="S43"/>
  <c r="R43"/>
  <c r="Q43"/>
  <c r="L43"/>
  <c r="M43" s="1"/>
  <c r="F43"/>
  <c r="L42"/>
  <c r="M42" s="1"/>
  <c r="H42"/>
  <c r="G42"/>
  <c r="Q42" s="1"/>
  <c r="L41"/>
  <c r="M41" s="1"/>
  <c r="G41"/>
  <c r="T41" s="1"/>
  <c r="H41"/>
  <c r="L40"/>
  <c r="M40"/>
  <c r="G40"/>
  <c r="V40" s="1"/>
  <c r="H40"/>
  <c r="V39"/>
  <c r="U39"/>
  <c r="T39"/>
  <c r="S39"/>
  <c r="R39"/>
  <c r="Q39"/>
  <c r="L39"/>
  <c r="M39" s="1"/>
  <c r="F39"/>
  <c r="H39" s="1"/>
  <c r="L38"/>
  <c r="M38"/>
  <c r="F38"/>
  <c r="L37"/>
  <c r="M37" s="1"/>
  <c r="G37"/>
  <c r="T37" s="1"/>
  <c r="H37"/>
  <c r="V32"/>
  <c r="U32"/>
  <c r="T32"/>
  <c r="S32"/>
  <c r="M31"/>
  <c r="I31"/>
  <c r="R31" s="1"/>
  <c r="M30"/>
  <c r="I30"/>
  <c r="R30" s="1"/>
  <c r="M29"/>
  <c r="I29"/>
  <c r="Q29" s="1"/>
  <c r="M28"/>
  <c r="I28"/>
  <c r="R28" s="1"/>
  <c r="M27"/>
  <c r="I27"/>
  <c r="AL15"/>
  <c r="M13"/>
  <c r="N13" s="1"/>
  <c r="M12"/>
  <c r="M11"/>
  <c r="M9"/>
  <c r="AL8"/>
  <c r="M8"/>
  <c r="N8" s="1"/>
  <c r="Q12"/>
  <c r="Z7"/>
  <c r="Z8" s="1"/>
  <c r="G7" s="1"/>
  <c r="I7" s="1"/>
  <c r="M7"/>
  <c r="R68" i="35"/>
  <c r="P68"/>
  <c r="G68"/>
  <c r="F68"/>
  <c r="E68"/>
  <c r="D68"/>
  <c r="C68"/>
  <c r="S67"/>
  <c r="G67"/>
  <c r="F67"/>
  <c r="E67"/>
  <c r="D67"/>
  <c r="C67"/>
  <c r="S66"/>
  <c r="G66"/>
  <c r="F66"/>
  <c r="E66"/>
  <c r="D66"/>
  <c r="C66"/>
  <c r="S65"/>
  <c r="G65"/>
  <c r="F65"/>
  <c r="E65"/>
  <c r="D65"/>
  <c r="C65"/>
  <c r="S64"/>
  <c r="G64"/>
  <c r="F64"/>
  <c r="E64"/>
  <c r="D64"/>
  <c r="C64"/>
  <c r="AA60"/>
  <c r="Z60"/>
  <c r="Y60"/>
  <c r="R58"/>
  <c r="P58"/>
  <c r="N58"/>
  <c r="R57"/>
  <c r="P57"/>
  <c r="N57"/>
  <c r="G57"/>
  <c r="F57"/>
  <c r="E57"/>
  <c r="D57"/>
  <c r="C57"/>
  <c r="R56"/>
  <c r="P56"/>
  <c r="N56"/>
  <c r="G56"/>
  <c r="F56"/>
  <c r="E56"/>
  <c r="D56"/>
  <c r="C56"/>
  <c r="R55"/>
  <c r="P55"/>
  <c r="N55"/>
  <c r="Z54"/>
  <c r="Y54"/>
  <c r="R54"/>
  <c r="P54"/>
  <c r="N54"/>
  <c r="G54"/>
  <c r="F54"/>
  <c r="E54"/>
  <c r="D54"/>
  <c r="C54"/>
  <c r="AA53"/>
  <c r="R53"/>
  <c r="P53"/>
  <c r="N53"/>
  <c r="AA52"/>
  <c r="G52"/>
  <c r="F52"/>
  <c r="E52"/>
  <c r="D52"/>
  <c r="C52"/>
  <c r="AA51"/>
  <c r="AA50"/>
  <c r="AA49"/>
  <c r="Z48"/>
  <c r="Y48"/>
  <c r="AA47"/>
  <c r="AA46"/>
  <c r="R46"/>
  <c r="P46"/>
  <c r="AA45"/>
  <c r="P45"/>
  <c r="S45" s="1"/>
  <c r="AA44"/>
  <c r="H44"/>
  <c r="AA43"/>
  <c r="H43"/>
  <c r="AA42"/>
  <c r="P42"/>
  <c r="S42" s="1"/>
  <c r="AA41"/>
  <c r="G41"/>
  <c r="F41"/>
  <c r="E41"/>
  <c r="D41"/>
  <c r="C41"/>
  <c r="AA40"/>
  <c r="G40"/>
  <c r="F40"/>
  <c r="E40"/>
  <c r="D40"/>
  <c r="Z39"/>
  <c r="Y39"/>
  <c r="AA38"/>
  <c r="AA37"/>
  <c r="AA36"/>
  <c r="AA35"/>
  <c r="H35"/>
  <c r="AA34"/>
  <c r="S34"/>
  <c r="AA33"/>
  <c r="R33"/>
  <c r="P33"/>
  <c r="N33"/>
  <c r="AA32"/>
  <c r="R32"/>
  <c r="P32"/>
  <c r="N32"/>
  <c r="Z31"/>
  <c r="Y31"/>
  <c r="R31"/>
  <c r="P31"/>
  <c r="N31"/>
  <c r="G31"/>
  <c r="E31"/>
  <c r="D31"/>
  <c r="C31"/>
  <c r="AA30"/>
  <c r="AA29"/>
  <c r="H29"/>
  <c r="AA28"/>
  <c r="P28"/>
  <c r="N28"/>
  <c r="AA27"/>
  <c r="G27"/>
  <c r="F27"/>
  <c r="E27"/>
  <c r="D27"/>
  <c r="C27"/>
  <c r="AA26"/>
  <c r="G26"/>
  <c r="F26"/>
  <c r="E26"/>
  <c r="D26"/>
  <c r="C26"/>
  <c r="AA25"/>
  <c r="AA24"/>
  <c r="AA23"/>
  <c r="AA22"/>
  <c r="AA21"/>
  <c r="Z20"/>
  <c r="Y20"/>
  <c r="R20"/>
  <c r="P20"/>
  <c r="N20"/>
  <c r="AA19"/>
  <c r="R19"/>
  <c r="P19"/>
  <c r="N19"/>
  <c r="G19"/>
  <c r="F19"/>
  <c r="E19"/>
  <c r="D19"/>
  <c r="C19"/>
  <c r="AA18"/>
  <c r="R18"/>
  <c r="P18"/>
  <c r="N18"/>
  <c r="H18"/>
  <c r="AA17"/>
  <c r="R17"/>
  <c r="P17"/>
  <c r="N17"/>
  <c r="H17"/>
  <c r="AA16"/>
  <c r="G16"/>
  <c r="F16"/>
  <c r="E16"/>
  <c r="D16"/>
  <c r="C16"/>
  <c r="AA15"/>
  <c r="G15"/>
  <c r="F15"/>
  <c r="E15"/>
  <c r="D15"/>
  <c r="C15"/>
  <c r="AA14"/>
  <c r="R14"/>
  <c r="P14"/>
  <c r="N14"/>
  <c r="G14"/>
  <c r="F14"/>
  <c r="E14"/>
  <c r="D14"/>
  <c r="C14"/>
  <c r="AA13"/>
  <c r="G13"/>
  <c r="F13"/>
  <c r="E13"/>
  <c r="D13"/>
  <c r="C13"/>
  <c r="AA12"/>
  <c r="G12"/>
  <c r="F12"/>
  <c r="E12"/>
  <c r="D12"/>
  <c r="C12"/>
  <c r="AA11"/>
  <c r="S11"/>
  <c r="G11"/>
  <c r="F11"/>
  <c r="E11"/>
  <c r="D11"/>
  <c r="C11"/>
  <c r="AA10"/>
  <c r="G10"/>
  <c r="F10"/>
  <c r="E10"/>
  <c r="D10"/>
  <c r="C10"/>
  <c r="AA9"/>
  <c r="R9"/>
  <c r="P9"/>
  <c r="N9"/>
  <c r="G9"/>
  <c r="F9"/>
  <c r="E9"/>
  <c r="D9"/>
  <c r="C9"/>
  <c r="AA8"/>
  <c r="G8"/>
  <c r="F8"/>
  <c r="E8"/>
  <c r="D8"/>
  <c r="C8"/>
  <c r="AA7"/>
  <c r="G7"/>
  <c r="F7"/>
  <c r="E7"/>
  <c r="D7"/>
  <c r="AA6"/>
  <c r="G6"/>
  <c r="F6"/>
  <c r="E6"/>
  <c r="D6"/>
  <c r="AA5"/>
  <c r="G36" i="34"/>
  <c r="G37" s="1"/>
  <c r="H31"/>
  <c r="P26"/>
  <c r="N26"/>
  <c r="P25"/>
  <c r="N25"/>
  <c r="C25"/>
  <c r="C26" s="1"/>
  <c r="P24"/>
  <c r="N24"/>
  <c r="J24"/>
  <c r="H24"/>
  <c r="D24"/>
  <c r="P23"/>
  <c r="N23"/>
  <c r="J23"/>
  <c r="H23"/>
  <c r="D23"/>
  <c r="J22"/>
  <c r="H22"/>
  <c r="D22"/>
  <c r="J21"/>
  <c r="H21"/>
  <c r="C17"/>
  <c r="C18" s="1"/>
  <c r="M16"/>
  <c r="N16" s="1"/>
  <c r="D16"/>
  <c r="N15"/>
  <c r="D15"/>
  <c r="H14"/>
  <c r="G11"/>
  <c r="H11" s="1"/>
  <c r="H10"/>
  <c r="C10"/>
  <c r="C11" s="1"/>
  <c r="D9"/>
  <c r="D8"/>
  <c r="M7"/>
  <c r="N7" s="1"/>
  <c r="N8" s="1"/>
  <c r="G7"/>
  <c r="H7" s="1"/>
  <c r="D7"/>
  <c r="N6"/>
  <c r="H6"/>
  <c r="D6"/>
  <c r="J11" i="32"/>
  <c r="E344"/>
  <c r="E343"/>
  <c r="E342"/>
  <c r="E341"/>
  <c r="E339"/>
  <c r="E338"/>
  <c r="E337"/>
  <c r="F344"/>
  <c r="F343"/>
  <c r="F342"/>
  <c r="F339"/>
  <c r="F338"/>
  <c r="F337"/>
  <c r="F341"/>
  <c r="C359"/>
  <c r="C357"/>
  <c r="R169" i="36"/>
  <c r="Q170"/>
  <c r="R159"/>
  <c r="T159"/>
  <c r="R157"/>
  <c r="T155"/>
  <c r="R155"/>
  <c r="I196"/>
  <c r="U115"/>
  <c r="T115"/>
  <c r="R115"/>
  <c r="V115"/>
  <c r="S115"/>
  <c r="Q115"/>
  <c r="U117"/>
  <c r="S117"/>
  <c r="Q117"/>
  <c r="T117"/>
  <c r="V117"/>
  <c r="R117"/>
  <c r="U19"/>
  <c r="U22" s="1"/>
  <c r="S19"/>
  <c r="S22" s="1"/>
  <c r="Q19"/>
  <c r="V19"/>
  <c r="V22" s="1"/>
  <c r="T19"/>
  <c r="T22" s="1"/>
  <c r="R19"/>
  <c r="R22" s="1"/>
  <c r="V114"/>
  <c r="T114"/>
  <c r="R114"/>
  <c r="U114"/>
  <c r="S114"/>
  <c r="Q114"/>
  <c r="U116"/>
  <c r="S116"/>
  <c r="Q116"/>
  <c r="V116"/>
  <c r="R116"/>
  <c r="T116"/>
  <c r="I8"/>
  <c r="Q8" s="1"/>
  <c r="H47"/>
  <c r="Q55"/>
  <c r="S55"/>
  <c r="U55"/>
  <c r="Q56"/>
  <c r="S56"/>
  <c r="U56"/>
  <c r="Q57"/>
  <c r="S57"/>
  <c r="U57"/>
  <c r="Q58"/>
  <c r="S58"/>
  <c r="U58"/>
  <c r="Q59"/>
  <c r="S59"/>
  <c r="U59"/>
  <c r="Q60"/>
  <c r="S60"/>
  <c r="U60"/>
  <c r="Q68"/>
  <c r="S68"/>
  <c r="U68"/>
  <c r="R71"/>
  <c r="T71"/>
  <c r="R83"/>
  <c r="T83"/>
  <c r="R84"/>
  <c r="T84"/>
  <c r="I85"/>
  <c r="R85"/>
  <c r="T85"/>
  <c r="R86"/>
  <c r="T86"/>
  <c r="I98"/>
  <c r="R98"/>
  <c r="T98"/>
  <c r="Q100"/>
  <c r="S100"/>
  <c r="U100"/>
  <c r="Q101"/>
  <c r="S101"/>
  <c r="U101"/>
  <c r="Q102"/>
  <c r="S102"/>
  <c r="U102"/>
  <c r="R108"/>
  <c r="T108"/>
  <c r="Q109"/>
  <c r="S109"/>
  <c r="Q110"/>
  <c r="S110"/>
  <c r="U110"/>
  <c r="I112"/>
  <c r="R112"/>
  <c r="T112"/>
  <c r="V139"/>
  <c r="R55"/>
  <c r="T55"/>
  <c r="R56"/>
  <c r="T56"/>
  <c r="R57"/>
  <c r="T57"/>
  <c r="R58"/>
  <c r="T58"/>
  <c r="R59"/>
  <c r="T59"/>
  <c r="R60"/>
  <c r="T60"/>
  <c r="R68"/>
  <c r="T68"/>
  <c r="I100"/>
  <c r="O100" s="1"/>
  <c r="R100"/>
  <c r="T100"/>
  <c r="R101"/>
  <c r="T101"/>
  <c r="I102"/>
  <c r="O102" s="1"/>
  <c r="R102"/>
  <c r="T102"/>
  <c r="I110"/>
  <c r="R110"/>
  <c r="T110"/>
  <c r="S148"/>
  <c r="Q155"/>
  <c r="Q157"/>
  <c r="Q159"/>
  <c r="N162"/>
  <c r="S171"/>
  <c r="Q182"/>
  <c r="N189"/>
  <c r="R192"/>
  <c r="O200"/>
  <c r="R203"/>
  <c r="R204"/>
  <c r="T204"/>
  <c r="N206"/>
  <c r="Q206"/>
  <c r="S206"/>
  <c r="Q208"/>
  <c r="O225"/>
  <c r="O189"/>
  <c r="N203"/>
  <c r="Q203"/>
  <c r="Q204"/>
  <c r="R206"/>
  <c r="R208"/>
  <c r="O109"/>
  <c r="N109"/>
  <c r="I9"/>
  <c r="Q9" s="1"/>
  <c r="U124"/>
  <c r="S124"/>
  <c r="Q124"/>
  <c r="T124"/>
  <c r="V124"/>
  <c r="R124"/>
  <c r="Q13"/>
  <c r="M223" i="32"/>
  <c r="M222"/>
  <c r="M221"/>
  <c r="M220"/>
  <c r="M219"/>
  <c r="M218"/>
  <c r="M201"/>
  <c r="M202"/>
  <c r="M203"/>
  <c r="M204"/>
  <c r="M205"/>
  <c r="M200"/>
  <c r="L70"/>
  <c r="L71"/>
  <c r="L72"/>
  <c r="L73"/>
  <c r="L69"/>
  <c r="I297"/>
  <c r="J297"/>
  <c r="K297"/>
  <c r="K296"/>
  <c r="J296"/>
  <c r="I296"/>
  <c r="K295"/>
  <c r="K300" s="1"/>
  <c r="J295"/>
  <c r="I295"/>
  <c r="K281"/>
  <c r="J281"/>
  <c r="I281"/>
  <c r="K280"/>
  <c r="J280"/>
  <c r="I280"/>
  <c r="I285" s="1"/>
  <c r="I286" s="1"/>
  <c r="I264"/>
  <c r="K265"/>
  <c r="K264"/>
  <c r="J265"/>
  <c r="J264"/>
  <c r="E242"/>
  <c r="K241"/>
  <c r="J241"/>
  <c r="I241"/>
  <c r="K240"/>
  <c r="J240"/>
  <c r="I240"/>
  <c r="K239"/>
  <c r="J239"/>
  <c r="I239"/>
  <c r="K238"/>
  <c r="J238"/>
  <c r="I238"/>
  <c r="K237"/>
  <c r="J237"/>
  <c r="I237"/>
  <c r="I180"/>
  <c r="I181"/>
  <c r="I182"/>
  <c r="I183"/>
  <c r="I179"/>
  <c r="I169"/>
  <c r="I168"/>
  <c r="E226"/>
  <c r="E206"/>
  <c r="J225"/>
  <c r="K225"/>
  <c r="L225"/>
  <c r="J219"/>
  <c r="K219"/>
  <c r="L219"/>
  <c r="J220"/>
  <c r="K220"/>
  <c r="L220"/>
  <c r="J221"/>
  <c r="K221"/>
  <c r="L221"/>
  <c r="J222"/>
  <c r="K222"/>
  <c r="L222"/>
  <c r="J223"/>
  <c r="K223"/>
  <c r="L223"/>
  <c r="J224"/>
  <c r="K224"/>
  <c r="L224"/>
  <c r="J218"/>
  <c r="K218"/>
  <c r="L218"/>
  <c r="K205"/>
  <c r="L205"/>
  <c r="J201"/>
  <c r="J202"/>
  <c r="J203"/>
  <c r="J204"/>
  <c r="J205"/>
  <c r="J168"/>
  <c r="J169"/>
  <c r="J179"/>
  <c r="J180"/>
  <c r="J181"/>
  <c r="J182"/>
  <c r="J183"/>
  <c r="J200"/>
  <c r="K200"/>
  <c r="L200"/>
  <c r="K201"/>
  <c r="L201"/>
  <c r="K202"/>
  <c r="L202"/>
  <c r="K203"/>
  <c r="L203"/>
  <c r="K204"/>
  <c r="L204"/>
  <c r="I149"/>
  <c r="J149" s="1"/>
  <c r="I150"/>
  <c r="J150" s="1"/>
  <c r="I151"/>
  <c r="J151" s="1"/>
  <c r="I152"/>
  <c r="J152" s="1"/>
  <c r="I265"/>
  <c r="I139"/>
  <c r="J139" s="1"/>
  <c r="I138"/>
  <c r="J138" s="1"/>
  <c r="I137"/>
  <c r="J137" s="1"/>
  <c r="I124"/>
  <c r="J124" s="1"/>
  <c r="I125"/>
  <c r="J125" s="1"/>
  <c r="I126"/>
  <c r="J126" s="1"/>
  <c r="I122"/>
  <c r="J122" s="1"/>
  <c r="I123"/>
  <c r="J123" s="1"/>
  <c r="I127"/>
  <c r="I121"/>
  <c r="I102"/>
  <c r="I106" s="1"/>
  <c r="E74"/>
  <c r="E78" s="1"/>
  <c r="C88" s="1"/>
  <c r="K47"/>
  <c r="I47"/>
  <c r="J47" s="1"/>
  <c r="K46"/>
  <c r="I46"/>
  <c r="J46" s="1"/>
  <c r="K45"/>
  <c r="I45"/>
  <c r="J45" s="1"/>
  <c r="I9"/>
  <c r="I12" s="1"/>
  <c r="I14" s="1"/>
  <c r="C16" s="1"/>
  <c r="G91" s="1"/>
  <c r="G93" s="1"/>
  <c r="G95" s="1"/>
  <c r="I208"/>
  <c r="I209" s="1"/>
  <c r="C377"/>
  <c r="D345"/>
  <c r="D340"/>
  <c r="J127"/>
  <c r="J121"/>
  <c r="J102"/>
  <c r="J106" s="1"/>
  <c r="K73"/>
  <c r="J73"/>
  <c r="K72"/>
  <c r="J72"/>
  <c r="K71"/>
  <c r="J71"/>
  <c r="K70"/>
  <c r="J70"/>
  <c r="K69"/>
  <c r="J69"/>
  <c r="K31"/>
  <c r="I31"/>
  <c r="J31" s="1"/>
  <c r="K30"/>
  <c r="I30"/>
  <c r="J30" s="1"/>
  <c r="K29"/>
  <c r="I29"/>
  <c r="J29" s="1"/>
  <c r="B5" i="27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26" s="1"/>
  <c r="B33" s="1"/>
  <c r="B34" s="1"/>
  <c r="B35" s="1"/>
  <c r="B36" s="1"/>
  <c r="B37" s="1"/>
  <c r="B38" s="1"/>
  <c r="B39" s="1"/>
  <c r="B40" s="1"/>
  <c r="B41" s="1"/>
  <c r="B42" s="1"/>
  <c r="B43" s="1"/>
  <c r="C25" i="22"/>
  <c r="C26" s="1"/>
  <c r="D24"/>
  <c r="D23"/>
  <c r="D22"/>
  <c r="C17"/>
  <c r="C18" s="1"/>
  <c r="D16"/>
  <c r="D15"/>
  <c r="Q11"/>
  <c r="Q12" s="1"/>
  <c r="C10"/>
  <c r="C11" s="1"/>
  <c r="N9"/>
  <c r="L9"/>
  <c r="D9"/>
  <c r="N8"/>
  <c r="L8"/>
  <c r="D8"/>
  <c r="AD7"/>
  <c r="AE7" s="1"/>
  <c r="Z7"/>
  <c r="AA7" s="1"/>
  <c r="AA8" s="1"/>
  <c r="X7"/>
  <c r="Y7" s="1"/>
  <c r="Y8" s="1"/>
  <c r="N7"/>
  <c r="L7"/>
  <c r="G7"/>
  <c r="H7" s="1"/>
  <c r="D7"/>
  <c r="AE6"/>
  <c r="Y6"/>
  <c r="R6"/>
  <c r="N6"/>
  <c r="L6"/>
  <c r="H6"/>
  <c r="D6"/>
  <c r="Z8"/>
  <c r="C325" i="32"/>
  <c r="G16" i="36"/>
  <c r="I16" s="1"/>
  <c r="O30"/>
  <c r="O29"/>
  <c r="Q31"/>
  <c r="O9" l="1"/>
  <c r="T166"/>
  <c r="S170"/>
  <c r="O108"/>
  <c r="T170"/>
  <c r="D17" i="22"/>
  <c r="D18" s="1"/>
  <c r="J285" i="32"/>
  <c r="R170" i="36"/>
  <c r="R149"/>
  <c r="U170"/>
  <c r="U172" s="1"/>
  <c r="T171"/>
  <c r="N201"/>
  <c r="N117"/>
  <c r="O142"/>
  <c r="O118"/>
  <c r="N120"/>
  <c r="N148"/>
  <c r="O152"/>
  <c r="O154"/>
  <c r="S143"/>
  <c r="O12"/>
  <c r="R162"/>
  <c r="N164"/>
  <c r="O168"/>
  <c r="N192"/>
  <c r="N204"/>
  <c r="Q143"/>
  <c r="N180"/>
  <c r="S208"/>
  <c r="Q162"/>
  <c r="O159"/>
  <c r="N161"/>
  <c r="R105"/>
  <c r="V16" i="41"/>
  <c r="V8"/>
  <c r="D25" i="22"/>
  <c r="D26" s="1"/>
  <c r="I170" i="32"/>
  <c r="I171" s="1"/>
  <c r="I172" s="1"/>
  <c r="Q211" i="36"/>
  <c r="Q25" i="34"/>
  <c r="N99" i="36"/>
  <c r="T162"/>
  <c r="O191"/>
  <c r="O193"/>
  <c r="G15"/>
  <c r="I15" s="1"/>
  <c r="I242" i="32"/>
  <c r="I243" s="1"/>
  <c r="J300"/>
  <c r="J301" s="1"/>
  <c r="O192" i="36"/>
  <c r="N143"/>
  <c r="O71"/>
  <c r="N156"/>
  <c r="O179"/>
  <c r="U202"/>
  <c r="O207"/>
  <c r="G14"/>
  <c r="I14" s="1"/>
  <c r="R171"/>
  <c r="O204"/>
  <c r="I194"/>
  <c r="R191"/>
  <c r="Q185"/>
  <c r="N159"/>
  <c r="Q149"/>
  <c r="V143"/>
  <c r="T153"/>
  <c r="E345" i="32"/>
  <c r="D25" i="34"/>
  <c r="D26" s="1"/>
  <c r="M172" i="36"/>
  <c r="N165"/>
  <c r="I188"/>
  <c r="M194"/>
  <c r="M211"/>
  <c r="V39" i="41"/>
  <c r="Q30" i="36"/>
  <c r="I269" i="32"/>
  <c r="I270" s="1"/>
  <c r="O187" i="36"/>
  <c r="N168"/>
  <c r="N154"/>
  <c r="O143"/>
  <c r="O158"/>
  <c r="K35" i="32"/>
  <c r="K36" s="1"/>
  <c r="K37" s="1"/>
  <c r="J38" s="1"/>
  <c r="J170"/>
  <c r="K269"/>
  <c r="T203" i="36"/>
  <c r="O183"/>
  <c r="N30"/>
  <c r="D10" i="34"/>
  <c r="D11" s="1"/>
  <c r="D17"/>
  <c r="D18" s="1"/>
  <c r="AA48" i="35"/>
  <c r="M217" i="36"/>
  <c r="O31"/>
  <c r="O139"/>
  <c r="O178"/>
  <c r="O180"/>
  <c r="V97" i="41"/>
  <c r="G20"/>
  <c r="G17"/>
  <c r="G47" s="1"/>
  <c r="G48" s="1"/>
  <c r="G106" s="1"/>
  <c r="G108" s="1"/>
  <c r="V7"/>
  <c r="V22"/>
  <c r="M12" i="37"/>
  <c r="H15"/>
  <c r="M15" s="1"/>
  <c r="S7" i="22"/>
  <c r="T7" s="1"/>
  <c r="Q7"/>
  <c r="R7" s="1"/>
  <c r="J153" i="32"/>
  <c r="J154" s="1"/>
  <c r="J155" s="1"/>
  <c r="I51"/>
  <c r="I52" s="1"/>
  <c r="C85"/>
  <c r="J9"/>
  <c r="I226"/>
  <c r="I227" s="1"/>
  <c r="I228" s="1"/>
  <c r="M206"/>
  <c r="M210" s="1"/>
  <c r="O13" i="36"/>
  <c r="N178"/>
  <c r="N207"/>
  <c r="N205"/>
  <c r="V195"/>
  <c r="Q167"/>
  <c r="Q163"/>
  <c r="N153"/>
  <c r="N139"/>
  <c r="N71"/>
  <c r="R151"/>
  <c r="O156"/>
  <c r="O169"/>
  <c r="E340" i="32"/>
  <c r="M22" i="36"/>
  <c r="N100"/>
  <c r="N118"/>
  <c r="M131"/>
  <c r="N142"/>
  <c r="O163"/>
  <c r="O167"/>
  <c r="O199"/>
  <c r="O201"/>
  <c r="V24" i="41"/>
  <c r="AL6" i="22"/>
  <c r="AM6" s="1"/>
  <c r="AL8"/>
  <c r="AM8" s="1"/>
  <c r="M188" i="36"/>
  <c r="Q28"/>
  <c r="K285" i="32"/>
  <c r="K286" s="1"/>
  <c r="I300"/>
  <c r="T195" i="36"/>
  <c r="T202" s="1"/>
  <c r="N182"/>
  <c r="N167"/>
  <c r="N163"/>
  <c r="N160"/>
  <c r="Q151"/>
  <c r="S144"/>
  <c r="R144"/>
  <c r="T151"/>
  <c r="I195"/>
  <c r="T167"/>
  <c r="Q24" i="34"/>
  <c r="O101" i="36"/>
  <c r="O145"/>
  <c r="S161"/>
  <c r="S163"/>
  <c r="S165"/>
  <c r="O210"/>
  <c r="N223"/>
  <c r="N225"/>
  <c r="V20" i="41"/>
  <c r="K47"/>
  <c r="K48" s="1"/>
  <c r="K106" s="1"/>
  <c r="K108" s="1"/>
  <c r="O98" i="36"/>
  <c r="AL9" i="22"/>
  <c r="AM9" s="1"/>
  <c r="AL7"/>
  <c r="I32" i="36"/>
  <c r="F239" s="1"/>
  <c r="I287" i="32"/>
  <c r="J35"/>
  <c r="J208"/>
  <c r="M224"/>
  <c r="M228" s="1"/>
  <c r="N102" i="36"/>
  <c r="O203"/>
  <c r="Q169"/>
  <c r="N151"/>
  <c r="V144"/>
  <c r="N198"/>
  <c r="O151"/>
  <c r="R167"/>
  <c r="M8" i="34"/>
  <c r="Q26"/>
  <c r="N12" i="36"/>
  <c r="O75"/>
  <c r="I147"/>
  <c r="O162"/>
  <c r="T163"/>
  <c r="M10" i="37"/>
  <c r="M28"/>
  <c r="H30" s="1"/>
  <c r="I90" i="36"/>
  <c r="Q89"/>
  <c r="V126"/>
  <c r="S104"/>
  <c r="I89"/>
  <c r="Q104"/>
  <c r="V42"/>
  <c r="S126"/>
  <c r="U53"/>
  <c r="I103"/>
  <c r="N103" s="1"/>
  <c r="R129"/>
  <c r="R104"/>
  <c r="R62"/>
  <c r="S91"/>
  <c r="S48"/>
  <c r="S62"/>
  <c r="T48"/>
  <c r="I91"/>
  <c r="T62"/>
  <c r="Q95"/>
  <c r="U62"/>
  <c r="U82"/>
  <c r="T104"/>
  <c r="I95"/>
  <c r="R79"/>
  <c r="R96" s="1"/>
  <c r="I66"/>
  <c r="Q126"/>
  <c r="U104"/>
  <c r="S66"/>
  <c r="R126"/>
  <c r="S129"/>
  <c r="R66"/>
  <c r="Q103"/>
  <c r="S90"/>
  <c r="U66"/>
  <c r="T129"/>
  <c r="T103"/>
  <c r="R95"/>
  <c r="T66"/>
  <c r="I64"/>
  <c r="U103"/>
  <c r="S95"/>
  <c r="Q79"/>
  <c r="Q96" s="1"/>
  <c r="S64"/>
  <c r="U129"/>
  <c r="T95"/>
  <c r="T64"/>
  <c r="I57"/>
  <c r="U95"/>
  <c r="Q66"/>
  <c r="Q62"/>
  <c r="U52"/>
  <c r="I74"/>
  <c r="O74" s="1"/>
  <c r="U87"/>
  <c r="R40"/>
  <c r="T92"/>
  <c r="U128"/>
  <c r="Q51"/>
  <c r="Q40"/>
  <c r="Q49"/>
  <c r="S41"/>
  <c r="I62"/>
  <c r="U93"/>
  <c r="R82"/>
  <c r="S42"/>
  <c r="V82"/>
  <c r="I93"/>
  <c r="T89"/>
  <c r="R123"/>
  <c r="R131" s="1"/>
  <c r="U89"/>
  <c r="R42"/>
  <c r="I53"/>
  <c r="R127"/>
  <c r="R89"/>
  <c r="S89"/>
  <c r="U48"/>
  <c r="V97"/>
  <c r="V113" s="1"/>
  <c r="R93"/>
  <c r="T53"/>
  <c r="Q105"/>
  <c r="Q61"/>
  <c r="I42"/>
  <c r="N42" s="1"/>
  <c r="T105"/>
  <c r="R91"/>
  <c r="T97"/>
  <c r="T113" s="1"/>
  <c r="S94"/>
  <c r="I97"/>
  <c r="I113" s="1"/>
  <c r="I123"/>
  <c r="N123" s="1"/>
  <c r="U97"/>
  <c r="U113" s="1"/>
  <c r="N75"/>
  <c r="U123"/>
  <c r="U131" s="1"/>
  <c r="T93"/>
  <c r="T91"/>
  <c r="V123"/>
  <c r="V131" s="1"/>
  <c r="U105"/>
  <c r="Q93"/>
  <c r="Q63"/>
  <c r="U61"/>
  <c r="U42"/>
  <c r="T42"/>
  <c r="V93"/>
  <c r="S72"/>
  <c r="S97"/>
  <c r="S113" s="1"/>
  <c r="I126"/>
  <c r="O126" s="1"/>
  <c r="Q123"/>
  <c r="Q131" s="1"/>
  <c r="S105"/>
  <c r="U91"/>
  <c r="V91"/>
  <c r="V127"/>
  <c r="U72"/>
  <c r="Q97"/>
  <c r="Q113" s="1"/>
  <c r="I94"/>
  <c r="R63"/>
  <c r="R61"/>
  <c r="T123"/>
  <c r="T131" s="1"/>
  <c r="S106"/>
  <c r="R70"/>
  <c r="R88" s="1"/>
  <c r="V128"/>
  <c r="S81"/>
  <c r="U81"/>
  <c r="V49"/>
  <c r="S49"/>
  <c r="T106"/>
  <c r="R92"/>
  <c r="I78"/>
  <c r="T52"/>
  <c r="Q128"/>
  <c r="Q106"/>
  <c r="Q94"/>
  <c r="U92"/>
  <c r="Q90"/>
  <c r="T87"/>
  <c r="S54"/>
  <c r="S52"/>
  <c r="I48"/>
  <c r="N48" s="1"/>
  <c r="Q41"/>
  <c r="H7" i="35"/>
  <c r="S17"/>
  <c r="S28"/>
  <c r="S70" i="36"/>
  <c r="S88" s="1"/>
  <c r="U70"/>
  <c r="U88" s="1"/>
  <c r="S87"/>
  <c r="Q87"/>
  <c r="I106"/>
  <c r="O106" s="1"/>
  <c r="R94"/>
  <c r="R90"/>
  <c r="T54"/>
  <c r="T51"/>
  <c r="I122"/>
  <c r="N122" s="1"/>
  <c r="U106"/>
  <c r="U94"/>
  <c r="Q92"/>
  <c r="U90"/>
  <c r="S51"/>
  <c r="R49"/>
  <c r="T40"/>
  <c r="S40"/>
  <c r="S58" i="35"/>
  <c r="I40" i="36"/>
  <c r="N40" s="1"/>
  <c r="V52"/>
  <c r="V70"/>
  <c r="V88" s="1"/>
  <c r="V90"/>
  <c r="V92"/>
  <c r="V94"/>
  <c r="V87"/>
  <c r="R106"/>
  <c r="I92"/>
  <c r="R52"/>
  <c r="R81"/>
  <c r="T49"/>
  <c r="U40"/>
  <c r="I52"/>
  <c r="S31" i="35"/>
  <c r="S53"/>
  <c r="S57"/>
  <c r="H65"/>
  <c r="I39" i="36"/>
  <c r="N39" s="1"/>
  <c r="I104"/>
  <c r="N104" s="1"/>
  <c r="X8" i="22"/>
  <c r="AJ8" s="1"/>
  <c r="AK8" s="1"/>
  <c r="AN8" s="1"/>
  <c r="D10"/>
  <c r="D11" s="1"/>
  <c r="I153" i="32"/>
  <c r="K51"/>
  <c r="J184"/>
  <c r="J185" s="1"/>
  <c r="J186" s="1"/>
  <c r="J226"/>
  <c r="I184"/>
  <c r="R194" i="36"/>
  <c r="K208" i="32"/>
  <c r="J242"/>
  <c r="I271"/>
  <c r="J75"/>
  <c r="J51"/>
  <c r="J128"/>
  <c r="J129" s="1"/>
  <c r="J130" s="1"/>
  <c r="K226"/>
  <c r="K227" s="1"/>
  <c r="J269"/>
  <c r="L74"/>
  <c r="L77" s="1"/>
  <c r="Q22" i="36"/>
  <c r="N169"/>
  <c r="Q165"/>
  <c r="Q164"/>
  <c r="Q161"/>
  <c r="Q160"/>
  <c r="N158"/>
  <c r="N157"/>
  <c r="Q153"/>
  <c r="N150"/>
  <c r="N149"/>
  <c r="Q129"/>
  <c r="N145"/>
  <c r="S139"/>
  <c r="I129"/>
  <c r="I105"/>
  <c r="R103"/>
  <c r="R64"/>
  <c r="T61"/>
  <c r="I61"/>
  <c r="I56"/>
  <c r="R54"/>
  <c r="O144"/>
  <c r="T144"/>
  <c r="R139"/>
  <c r="R147" s="1"/>
  <c r="Q144"/>
  <c r="U126"/>
  <c r="S103"/>
  <c r="N98"/>
  <c r="T81"/>
  <c r="R72"/>
  <c r="T70"/>
  <c r="T88" s="1"/>
  <c r="Q88"/>
  <c r="U64"/>
  <c r="S61"/>
  <c r="U54"/>
  <c r="Q54"/>
  <c r="R48"/>
  <c r="N9"/>
  <c r="S131"/>
  <c r="I80"/>
  <c r="T149"/>
  <c r="R153"/>
  <c r="T157"/>
  <c r="T169"/>
  <c r="R180"/>
  <c r="R188" s="1"/>
  <c r="Q23" i="34"/>
  <c r="H9" i="35"/>
  <c r="S9"/>
  <c r="H13"/>
  <c r="H16"/>
  <c r="S19"/>
  <c r="S20"/>
  <c r="Z61"/>
  <c r="H26"/>
  <c r="H31"/>
  <c r="Y61"/>
  <c r="S33"/>
  <c r="H41"/>
  <c r="S54"/>
  <c r="H56"/>
  <c r="H68"/>
  <c r="S68"/>
  <c r="G130" i="36" s="1"/>
  <c r="Q130" s="1"/>
  <c r="O8"/>
  <c r="N28"/>
  <c r="Q48"/>
  <c r="I49"/>
  <c r="V64"/>
  <c r="Q72"/>
  <c r="I128"/>
  <c r="N128" s="1"/>
  <c r="M147"/>
  <c r="N144"/>
  <c r="O149"/>
  <c r="O153"/>
  <c r="O157"/>
  <c r="T160"/>
  <c r="O160"/>
  <c r="R160"/>
  <c r="T161"/>
  <c r="O161"/>
  <c r="T164"/>
  <c r="O164"/>
  <c r="R164"/>
  <c r="T165"/>
  <c r="O165"/>
  <c r="N179"/>
  <c r="V202"/>
  <c r="V212" s="1"/>
  <c r="S7" i="35"/>
  <c r="G38" i="36" s="1"/>
  <c r="R38" s="1"/>
  <c r="V99" i="41"/>
  <c r="V96"/>
  <c r="V94"/>
  <c r="V92"/>
  <c r="V88"/>
  <c r="V83"/>
  <c r="V81"/>
  <c r="V79"/>
  <c r="V77"/>
  <c r="V72"/>
  <c r="V70"/>
  <c r="V63"/>
  <c r="V61"/>
  <c r="V52"/>
  <c r="V50"/>
  <c r="V45"/>
  <c r="V38"/>
  <c r="V36"/>
  <c r="V34"/>
  <c r="V28"/>
  <c r="V26"/>
  <c r="L47"/>
  <c r="L48" s="1"/>
  <c r="L106" s="1"/>
  <c r="L108" s="1"/>
  <c r="V6"/>
  <c r="S14" i="35"/>
  <c r="H15"/>
  <c r="G46" i="36" s="1"/>
  <c r="I46" s="1"/>
  <c r="AA31" i="35"/>
  <c r="S55"/>
  <c r="U212" i="36"/>
  <c r="V95" i="41"/>
  <c r="V93"/>
  <c r="V91"/>
  <c r="V84"/>
  <c r="V82"/>
  <c r="V80"/>
  <c r="V73"/>
  <c r="V71"/>
  <c r="V69"/>
  <c r="V67"/>
  <c r="V62"/>
  <c r="V60"/>
  <c r="V58"/>
  <c r="V54"/>
  <c r="V53"/>
  <c r="V51"/>
  <c r="V49"/>
  <c r="V44"/>
  <c r="V43"/>
  <c r="V37"/>
  <c r="V35"/>
  <c r="V29"/>
  <c r="V19"/>
  <c r="U47"/>
  <c r="U48" s="1"/>
  <c r="Q47"/>
  <c r="Q48" s="1"/>
  <c r="V17"/>
  <c r="V13"/>
  <c r="V5"/>
  <c r="A2" i="44"/>
  <c r="A3"/>
  <c r="O107" i="36"/>
  <c r="N107"/>
  <c r="H6" i="35"/>
  <c r="H12"/>
  <c r="H40"/>
  <c r="S46"/>
  <c r="H54"/>
  <c r="H66"/>
  <c r="I51" i="36"/>
  <c r="O51" s="1"/>
  <c r="I50"/>
  <c r="O50" s="1"/>
  <c r="S18" i="35"/>
  <c r="S32"/>
  <c r="Q81" i="36"/>
  <c r="H11" i="35"/>
  <c r="H14"/>
  <c r="G45" i="36" s="1"/>
  <c r="R45" s="1"/>
  <c r="N114"/>
  <c r="O114"/>
  <c r="N115"/>
  <c r="O115"/>
  <c r="J171" i="32"/>
  <c r="J172" s="1"/>
  <c r="O7" i="36"/>
  <c r="N7"/>
  <c r="AJ6" i="22"/>
  <c r="AK6" s="1"/>
  <c r="AN6" s="1"/>
  <c r="J76" i="32"/>
  <c r="J77" s="1"/>
  <c r="C80" s="1"/>
  <c r="J107"/>
  <c r="J108" s="1"/>
  <c r="C113" s="1"/>
  <c r="AP6" i="22"/>
  <c r="I185" i="32"/>
  <c r="I186" s="1"/>
  <c r="C191" s="1"/>
  <c r="J140"/>
  <c r="I244"/>
  <c r="K52"/>
  <c r="K53" s="1"/>
  <c r="J54" s="1"/>
  <c r="K209"/>
  <c r="K210" s="1"/>
  <c r="J286"/>
  <c r="J287" s="1"/>
  <c r="I301"/>
  <c r="I302" s="1"/>
  <c r="O77" i="36"/>
  <c r="N77"/>
  <c r="I32" i="34"/>
  <c r="J32" s="1"/>
  <c r="G32"/>
  <c r="H32" s="1"/>
  <c r="J52" i="32"/>
  <c r="J53" s="1"/>
  <c r="I107"/>
  <c r="I108" s="1"/>
  <c r="C111" s="1"/>
  <c r="O27" i="36"/>
  <c r="Q27"/>
  <c r="U47"/>
  <c r="I47"/>
  <c r="R47"/>
  <c r="V65"/>
  <c r="S65"/>
  <c r="T65"/>
  <c r="Q65"/>
  <c r="I65"/>
  <c r="H87"/>
  <c r="I87" s="1"/>
  <c r="I47" i="41"/>
  <c r="I48" s="1"/>
  <c r="I106" s="1"/>
  <c r="I108" s="1"/>
  <c r="V23"/>
  <c r="V10"/>
  <c r="H47"/>
  <c r="H48" s="1"/>
  <c r="H106" s="1"/>
  <c r="H108" s="1"/>
  <c r="V9"/>
  <c r="H43" i="36"/>
  <c r="I43" s="1"/>
  <c r="H44"/>
  <c r="I44" s="1"/>
  <c r="R51"/>
  <c r="V51"/>
  <c r="S53"/>
  <c r="R53"/>
  <c r="V53"/>
  <c r="V63"/>
  <c r="S63"/>
  <c r="T63"/>
  <c r="O69"/>
  <c r="N69"/>
  <c r="H70"/>
  <c r="I70" s="1"/>
  <c r="S78"/>
  <c r="R78"/>
  <c r="V78"/>
  <c r="Q78"/>
  <c r="T78"/>
  <c r="S82"/>
  <c r="I82"/>
  <c r="T82"/>
  <c r="H86"/>
  <c r="I86" s="1"/>
  <c r="O141"/>
  <c r="N141"/>
  <c r="N147" s="1"/>
  <c r="R154"/>
  <c r="Q154"/>
  <c r="S154"/>
  <c r="T154"/>
  <c r="O155"/>
  <c r="N155"/>
  <c r="S166"/>
  <c r="Q166"/>
  <c r="O166"/>
  <c r="N166"/>
  <c r="N185"/>
  <c r="O185"/>
  <c r="N190"/>
  <c r="O190"/>
  <c r="O209"/>
  <c r="N209"/>
  <c r="V30" i="41"/>
  <c r="N47"/>
  <c r="N48" s="1"/>
  <c r="N106" s="1"/>
  <c r="N108" s="1"/>
  <c r="T47"/>
  <c r="T48" s="1"/>
  <c r="T106" s="1"/>
  <c r="T108" s="1"/>
  <c r="P47"/>
  <c r="P48" s="1"/>
  <c r="P106" s="1"/>
  <c r="P108" s="1"/>
  <c r="O117" i="36"/>
  <c r="G11"/>
  <c r="I11" s="1"/>
  <c r="I22" s="1"/>
  <c r="F238" s="1"/>
  <c r="F254"/>
  <c r="N121"/>
  <c r="S47"/>
  <c r="J36" i="32"/>
  <c r="J37" s="1"/>
  <c r="K301"/>
  <c r="K302" s="1"/>
  <c r="K75"/>
  <c r="K270"/>
  <c r="K271" s="1"/>
  <c r="K242"/>
  <c r="N108" i="36"/>
  <c r="T47"/>
  <c r="N31"/>
  <c r="F345" i="32"/>
  <c r="H10" i="35"/>
  <c r="H19"/>
  <c r="H52"/>
  <c r="S56"/>
  <c r="H64"/>
  <c r="V101" i="41"/>
  <c r="V90"/>
  <c r="V33"/>
  <c r="U106"/>
  <c r="U108" s="1"/>
  <c r="Q106"/>
  <c r="Q108" s="1"/>
  <c r="V18"/>
  <c r="T127" i="36"/>
  <c r="I127"/>
  <c r="S127"/>
  <c r="U127"/>
  <c r="T128"/>
  <c r="S128"/>
  <c r="S152"/>
  <c r="R152"/>
  <c r="Q152"/>
  <c r="T152"/>
  <c r="N152"/>
  <c r="N184"/>
  <c r="O184"/>
  <c r="O197"/>
  <c r="N197"/>
  <c r="S207"/>
  <c r="S211" s="1"/>
  <c r="S212" s="1"/>
  <c r="T207"/>
  <c r="I211"/>
  <c r="R207"/>
  <c r="O208"/>
  <c r="N208"/>
  <c r="V47"/>
  <c r="I210" i="32"/>
  <c r="O68" i="36"/>
  <c r="I79"/>
  <c r="I96" s="1"/>
  <c r="I72"/>
  <c r="U65"/>
  <c r="N27"/>
  <c r="H8" i="35"/>
  <c r="H57"/>
  <c r="H67"/>
  <c r="M67" i="36"/>
  <c r="M132" s="1"/>
  <c r="M13" i="37"/>
  <c r="V32" i="41"/>
  <c r="J13" i="32"/>
  <c r="J14" s="1"/>
  <c r="D21" s="1"/>
  <c r="U37" i="36"/>
  <c r="R37"/>
  <c r="V37"/>
  <c r="Q37"/>
  <c r="S37"/>
  <c r="I37"/>
  <c r="V41"/>
  <c r="U41"/>
  <c r="I41"/>
  <c r="R41"/>
  <c r="H76"/>
  <c r="I76" s="1"/>
  <c r="U79"/>
  <c r="U96" s="1"/>
  <c r="T79"/>
  <c r="T96" s="1"/>
  <c r="V79"/>
  <c r="V96" s="1"/>
  <c r="H81"/>
  <c r="I81" s="1"/>
  <c r="U139"/>
  <c r="Q139"/>
  <c r="Q147" s="1"/>
  <c r="T139"/>
  <c r="R150"/>
  <c r="Q150"/>
  <c r="S150"/>
  <c r="O150"/>
  <c r="R158"/>
  <c r="Q158"/>
  <c r="S158"/>
  <c r="O181"/>
  <c r="Q181"/>
  <c r="Q193"/>
  <c r="N193"/>
  <c r="O224"/>
  <c r="N224"/>
  <c r="Q47"/>
  <c r="O28"/>
  <c r="R27"/>
  <c r="K287" i="32"/>
  <c r="I128"/>
  <c r="I35"/>
  <c r="I140"/>
  <c r="N101" i="36"/>
  <c r="N68"/>
  <c r="R65"/>
  <c r="AA39" i="35"/>
  <c r="AA54"/>
  <c r="I54" i="36"/>
  <c r="I73"/>
  <c r="V41" i="41"/>
  <c r="V31"/>
  <c r="R29" i="36"/>
  <c r="N29"/>
  <c r="H59"/>
  <c r="I59" s="1"/>
  <c r="T143"/>
  <c r="U143"/>
  <c r="I172"/>
  <c r="I173" s="1"/>
  <c r="R148"/>
  <c r="O148"/>
  <c r="Q148"/>
  <c r="S156"/>
  <c r="R156"/>
  <c r="Q156"/>
  <c r="T168"/>
  <c r="Q168"/>
  <c r="S168"/>
  <c r="N186"/>
  <c r="O186"/>
  <c r="N191"/>
  <c r="Q191"/>
  <c r="R211"/>
  <c r="AA20" i="35"/>
  <c r="H27"/>
  <c r="I63" i="36"/>
  <c r="O99"/>
  <c r="M202"/>
  <c r="M226" s="1"/>
  <c r="V102" i="41"/>
  <c r="V98"/>
  <c r="V87"/>
  <c r="V76"/>
  <c r="V66"/>
  <c r="V57"/>
  <c r="V40"/>
  <c r="V27"/>
  <c r="M47"/>
  <c r="M48" s="1"/>
  <c r="M106" s="1"/>
  <c r="M108" s="1"/>
  <c r="R47"/>
  <c r="R48" s="1"/>
  <c r="R106" s="1"/>
  <c r="R108" s="1"/>
  <c r="V86"/>
  <c r="V75"/>
  <c r="V65"/>
  <c r="V56"/>
  <c r="J47"/>
  <c r="J48" s="1"/>
  <c r="J106" s="1"/>
  <c r="J108" s="1"/>
  <c r="V100"/>
  <c r="V89"/>
  <c r="V85"/>
  <c r="V78"/>
  <c r="V74"/>
  <c r="V68"/>
  <c r="V64"/>
  <c r="V59"/>
  <c r="V55"/>
  <c r="V42"/>
  <c r="V25"/>
  <c r="V21"/>
  <c r="V15"/>
  <c r="S47"/>
  <c r="S48" s="1"/>
  <c r="S106" s="1"/>
  <c r="S108" s="1"/>
  <c r="O47"/>
  <c r="O48" s="1"/>
  <c r="O106" s="1"/>
  <c r="O108" s="1"/>
  <c r="V12"/>
  <c r="V11"/>
  <c r="T72" i="36"/>
  <c r="O116"/>
  <c r="N116"/>
  <c r="N124"/>
  <c r="O124"/>
  <c r="C349" i="32" l="1"/>
  <c r="O147" i="36"/>
  <c r="R212"/>
  <c r="Q188"/>
  <c r="O194"/>
  <c r="K228" i="32"/>
  <c r="I53"/>
  <c r="C59" s="1"/>
  <c r="J243"/>
  <c r="J244" s="1"/>
  <c r="AJ9" i="22"/>
  <c r="AK9" s="1"/>
  <c r="AN9" s="1"/>
  <c r="T211" i="36"/>
  <c r="T212" s="1"/>
  <c r="Q32"/>
  <c r="AJ7" i="22"/>
  <c r="AK7" s="1"/>
  <c r="M173" i="36"/>
  <c r="M230" s="1"/>
  <c r="J302" i="32"/>
  <c r="J303" s="1"/>
  <c r="V147" i="36"/>
  <c r="V173" s="1"/>
  <c r="S147"/>
  <c r="O104"/>
  <c r="Q194"/>
  <c r="O195"/>
  <c r="O202" s="1"/>
  <c r="I202"/>
  <c r="I212" s="1"/>
  <c r="F242" s="1"/>
  <c r="N195"/>
  <c r="N202" s="1"/>
  <c r="J288" i="32"/>
  <c r="J209"/>
  <c r="J210" s="1"/>
  <c r="J211" s="1"/>
  <c r="AP7" i="22"/>
  <c r="AM7"/>
  <c r="N211" i="36"/>
  <c r="C306" i="32"/>
  <c r="O123" i="36"/>
  <c r="O40"/>
  <c r="N126"/>
  <c r="O103"/>
  <c r="N74"/>
  <c r="O97"/>
  <c r="O122"/>
  <c r="O131" s="1"/>
  <c r="I131"/>
  <c r="O42"/>
  <c r="Q45"/>
  <c r="T38"/>
  <c r="U46"/>
  <c r="V130"/>
  <c r="N106"/>
  <c r="T130"/>
  <c r="S46"/>
  <c r="O128"/>
  <c r="N97"/>
  <c r="R130"/>
  <c r="R46"/>
  <c r="R67" s="1"/>
  <c r="R132" s="1"/>
  <c r="V46"/>
  <c r="O39"/>
  <c r="U45"/>
  <c r="I45"/>
  <c r="N45" s="1"/>
  <c r="O48"/>
  <c r="V38"/>
  <c r="U130"/>
  <c r="I130"/>
  <c r="O130" s="1"/>
  <c r="T46"/>
  <c r="Q46"/>
  <c r="I38"/>
  <c r="I67" s="1"/>
  <c r="S38"/>
  <c r="U38"/>
  <c r="Q38"/>
  <c r="Q67" s="1"/>
  <c r="Q132" s="1"/>
  <c r="S130"/>
  <c r="N129"/>
  <c r="O129"/>
  <c r="J270" i="32"/>
  <c r="J271" s="1"/>
  <c r="J272" s="1"/>
  <c r="J227"/>
  <c r="J228"/>
  <c r="J229" s="1"/>
  <c r="N194" i="36"/>
  <c r="S172"/>
  <c r="V47" i="41"/>
  <c r="V48" s="1"/>
  <c r="V106" s="1"/>
  <c r="C61" i="32"/>
  <c r="O211" i="36"/>
  <c r="N188"/>
  <c r="N49"/>
  <c r="O49"/>
  <c r="O105"/>
  <c r="N105"/>
  <c r="I154" i="32"/>
  <c r="I155" s="1"/>
  <c r="T172" i="36"/>
  <c r="N172"/>
  <c r="S45"/>
  <c r="N51"/>
  <c r="N50"/>
  <c r="T45"/>
  <c r="V45"/>
  <c r="O76"/>
  <c r="N76"/>
  <c r="N70"/>
  <c r="O70"/>
  <c r="I88"/>
  <c r="N43"/>
  <c r="O43"/>
  <c r="O44"/>
  <c r="N44"/>
  <c r="C189" i="32"/>
  <c r="I36"/>
  <c r="I37" s="1"/>
  <c r="C57" s="1"/>
  <c r="O72" i="36"/>
  <c r="N72"/>
  <c r="I141" i="32"/>
  <c r="I142" s="1"/>
  <c r="N127" i="36"/>
  <c r="O127"/>
  <c r="K76" i="32"/>
  <c r="K77" s="1"/>
  <c r="J78" s="1"/>
  <c r="N41" i="36"/>
  <c r="O41"/>
  <c r="F241"/>
  <c r="F252"/>
  <c r="O73"/>
  <c r="N73"/>
  <c r="I129" i="32"/>
  <c r="I130" s="1"/>
  <c r="O37" i="36"/>
  <c r="N37"/>
  <c r="K243" i="32"/>
  <c r="K244" s="1"/>
  <c r="N11" i="36"/>
  <c r="N22" s="1"/>
  <c r="O11"/>
  <c r="O22" s="1"/>
  <c r="N47"/>
  <c r="O47"/>
  <c r="J141" i="32"/>
  <c r="J142" s="1"/>
  <c r="N46" i="36"/>
  <c r="O46"/>
  <c r="R172"/>
  <c r="R173" s="1"/>
  <c r="C251" i="32"/>
  <c r="O172" i="36"/>
  <c r="O173" s="1"/>
  <c r="R32"/>
  <c r="O188"/>
  <c r="T147"/>
  <c r="N131"/>
  <c r="Q172"/>
  <c r="Q173" s="1"/>
  <c r="N173"/>
  <c r="G109" i="41"/>
  <c r="O217" i="36"/>
  <c r="AA61" i="35"/>
  <c r="U147" i="36"/>
  <c r="U173" s="1"/>
  <c r="N217"/>
  <c r="Q212" l="1"/>
  <c r="T173"/>
  <c r="C308" i="32"/>
  <c r="S173" i="36"/>
  <c r="AN7" i="22"/>
  <c r="N226" i="36"/>
  <c r="O227" s="1"/>
  <c r="J245" i="32"/>
  <c r="C253" s="1"/>
  <c r="I132" i="36"/>
  <c r="I217" s="1"/>
  <c r="G221" s="1"/>
  <c r="I221" s="1"/>
  <c r="T67"/>
  <c r="T132" s="1"/>
  <c r="T213" s="1"/>
  <c r="U67"/>
  <c r="U132" s="1"/>
  <c r="U213" s="1"/>
  <c r="V67"/>
  <c r="V132" s="1"/>
  <c r="V213" s="1"/>
  <c r="O45"/>
  <c r="S67"/>
  <c r="S132" s="1"/>
  <c r="S213" s="1"/>
  <c r="N130"/>
  <c r="N38"/>
  <c r="N67" s="1"/>
  <c r="N132" s="1"/>
  <c r="O38"/>
  <c r="O67" s="1"/>
  <c r="O132" s="1"/>
  <c r="O230" s="1"/>
  <c r="Q213"/>
  <c r="W195" s="1"/>
  <c r="R213"/>
  <c r="O23"/>
  <c r="C83" i="32"/>
  <c r="C321"/>
  <c r="C323" s="1"/>
  <c r="O174" i="36"/>
  <c r="C160" i="32"/>
  <c r="C316" s="1"/>
  <c r="C319" s="1"/>
  <c r="F240" i="36" l="1"/>
  <c r="I238" s="1"/>
  <c r="O133"/>
  <c r="N230"/>
  <c r="O221"/>
  <c r="I226"/>
  <c r="N221"/>
  <c r="G222"/>
  <c r="I222" s="1"/>
  <c r="F247" l="1"/>
  <c r="N222"/>
  <c r="O222"/>
  <c r="F243"/>
  <c r="I239" s="1"/>
  <c r="F253"/>
  <c r="F255" s="1"/>
  <c r="F256" s="1"/>
  <c r="I230"/>
  <c r="P230" s="1"/>
  <c r="E12" i="42" l="1"/>
  <c r="E16" s="1"/>
  <c r="E8" l="1"/>
  <c r="E18"/>
  <c r="E22" s="1"/>
  <c r="E24" s="1"/>
  <c r="E28" s="1"/>
  <c r="E30" s="1"/>
  <c r="I7" i="30"/>
  <c r="I25" s="1"/>
</calcChain>
</file>

<file path=xl/sharedStrings.xml><?xml version="1.0" encoding="utf-8"?>
<sst xmlns="http://schemas.openxmlformats.org/spreadsheetml/2006/main" count="1909" uniqueCount="772">
  <si>
    <t>ITEM</t>
  </si>
  <si>
    <t>INTERNAL PLASTER</t>
  </si>
  <si>
    <t>EXTERNAL PLASTER</t>
  </si>
  <si>
    <t>INTERNAL PAINT</t>
  </si>
  <si>
    <t>QNTY</t>
  </si>
  <si>
    <t>EXCAVATION</t>
  </si>
  <si>
    <t>TERMITE CONTROL</t>
  </si>
  <si>
    <t>CONCRETE</t>
  </si>
  <si>
    <t>ABC GROUP GULF</t>
  </si>
  <si>
    <t>GENERAL LABUR RATES</t>
  </si>
  <si>
    <t>BLOCKWORK</t>
  </si>
  <si>
    <t>STEEL FIXING PER TON</t>
  </si>
  <si>
    <t>CONCRETE PER M3</t>
  </si>
  <si>
    <t>CARPENTERY</t>
  </si>
  <si>
    <t xml:space="preserve">ABC GROUP GULF </t>
  </si>
  <si>
    <t>MATERIALS PRICE LIST</t>
  </si>
  <si>
    <t>NO</t>
  </si>
  <si>
    <t>MARKA &amp; ÖZELLİK</t>
  </si>
  <si>
    <t>LİS.TARİHİ</t>
  </si>
  <si>
    <t>LİS.B.FİYATI</t>
  </si>
  <si>
    <t>İSK.</t>
  </si>
  <si>
    <t>( B )</t>
  </si>
  <si>
    <t>( C )</t>
  </si>
  <si>
    <t>REINFORCING STEEL BARS &amp; CONSUMABLES</t>
  </si>
  <si>
    <t>İÇDAŞ</t>
  </si>
  <si>
    <t>Nails</t>
  </si>
  <si>
    <t>C 20 OPC</t>
  </si>
  <si>
    <t>NUH BETON</t>
  </si>
  <si>
    <t>C 20 SRC</t>
  </si>
  <si>
    <t>C 30 OPC</t>
  </si>
  <si>
    <t>C 30 SRS</t>
  </si>
  <si>
    <t>C 40 OPC</t>
  </si>
  <si>
    <t>C 40 SRC</t>
  </si>
  <si>
    <t>C50 OPC</t>
  </si>
  <si>
    <t>C50 SRS</t>
  </si>
  <si>
    <t>MESH REINFORCEMENT</t>
  </si>
  <si>
    <t>ÇESAN</t>
  </si>
  <si>
    <t>DRENAJ &amp; KANAL &amp; YAĞMUR</t>
  </si>
  <si>
    <t>Drenflex Ø 200</t>
  </si>
  <si>
    <t>FIRAT</t>
  </si>
  <si>
    <t>Çelik yağmur iniş borusu Ø 150</t>
  </si>
  <si>
    <t xml:space="preserve"> Ø 250  PVC (corige) boru</t>
  </si>
  <si>
    <t>KALIP MALZEMELERİ</t>
  </si>
  <si>
    <t>Film kaplı kontraplak ( plywood )</t>
  </si>
  <si>
    <t>BALCIOĞLU</t>
  </si>
  <si>
    <t>2. Sınıf çam kereste</t>
  </si>
  <si>
    <t>SAC VE PROFİLLER</t>
  </si>
  <si>
    <t>Profil demiri,sac (kayıplarıyla)</t>
  </si>
  <si>
    <t>Bulon,Perçin</t>
  </si>
  <si>
    <t>ZEMİN KAPLAMASI</t>
  </si>
  <si>
    <t xml:space="preserve">Emeryplate </t>
  </si>
  <si>
    <t>EGESİN</t>
  </si>
  <si>
    <t>Probeton curıng</t>
  </si>
  <si>
    <t>ÇATI İŞLERİ</t>
  </si>
  <si>
    <t>(0,5+50+0,4) Boyalı sac sandviç çatı paneli ( nakliye dahil )</t>
  </si>
  <si>
    <t>ASSAN</t>
  </si>
  <si>
    <t xml:space="preserve">MERMER VE GRANİT </t>
  </si>
  <si>
    <t>3cm Muğla mermeri denizlik (15 cm genişliğinde)</t>
  </si>
  <si>
    <t>KARTAL MERMER</t>
  </si>
  <si>
    <t xml:space="preserve">  </t>
  </si>
  <si>
    <t>SERAMİK VE KAROSERAMİK</t>
  </si>
  <si>
    <t>20x20Anti asidik seramik</t>
  </si>
  <si>
    <t>Granit Yapıştırıcı</t>
  </si>
  <si>
    <t>Epofuga derz dolgusu (Epox esaslı)</t>
  </si>
  <si>
    <t>MUHTELİF</t>
  </si>
  <si>
    <t>Mıcır (Ocak mıcırı)</t>
  </si>
  <si>
    <t>SELTAŞ</t>
  </si>
  <si>
    <t>Kum (Nakliye dahil)</t>
  </si>
  <si>
    <t xml:space="preserve">Stabilize </t>
  </si>
  <si>
    <t>Kalıp iskelesi</t>
  </si>
  <si>
    <t>Graut harcı</t>
  </si>
  <si>
    <t>UDM2</t>
  </si>
  <si>
    <t>adet</t>
  </si>
  <si>
    <t>5 cm xps</t>
  </si>
  <si>
    <t>200gr/m² Geotextil keçe</t>
  </si>
  <si>
    <t>Döküm kapak</t>
  </si>
  <si>
    <t>LİBRA</t>
  </si>
  <si>
    <t>19x19x18,5'luk delikli tuğla</t>
  </si>
  <si>
    <t>19x19x13,5'luk delikli tuğla</t>
  </si>
  <si>
    <t xml:space="preserve">25'lik Bims Blok  </t>
  </si>
  <si>
    <t>Sıvamatik dış harcı (20 mm)</t>
  </si>
  <si>
    <t>Alçımatik harcı (20 mm)</t>
  </si>
  <si>
    <t>Çuhadaroğlu İzo-67 serisi profil</t>
  </si>
  <si>
    <t>4+12+4 ısıcam</t>
  </si>
  <si>
    <t>NP1 mastik</t>
  </si>
  <si>
    <t>Poliüretan Köpük</t>
  </si>
  <si>
    <t>EQUIPMENTS &amp; PLANTS RATES</t>
  </si>
  <si>
    <t>EKİPMAN</t>
  </si>
  <si>
    <t>BRM</t>
  </si>
  <si>
    <t>B.FİYAT</t>
  </si>
  <si>
    <t>Roller compactor</t>
  </si>
  <si>
    <t>Exvacator</t>
  </si>
  <si>
    <t>Loader</t>
  </si>
  <si>
    <t>Truck</t>
  </si>
  <si>
    <t>gün</t>
  </si>
  <si>
    <t>Crane</t>
  </si>
  <si>
    <t>Bus</t>
  </si>
  <si>
    <t>per day</t>
  </si>
  <si>
    <t>m3</t>
  </si>
  <si>
    <t>m2</t>
  </si>
  <si>
    <t>F</t>
  </si>
  <si>
    <t>D</t>
  </si>
  <si>
    <t>Month</t>
  </si>
  <si>
    <t>DIFFERENCE</t>
  </si>
  <si>
    <t>UNIT</t>
  </si>
  <si>
    <t>AMOUNT</t>
  </si>
  <si>
    <t>DURATION</t>
  </si>
  <si>
    <t>PRICE</t>
  </si>
  <si>
    <t>+</t>
  </si>
  <si>
    <t>-</t>
  </si>
  <si>
    <t>TOTAL</t>
  </si>
  <si>
    <t xml:space="preserve">
No</t>
  </si>
  <si>
    <t>İŞ GÜVENLİĞİ MALZEMELERİ ( 1 KİŞİLİK )</t>
  </si>
  <si>
    <t>BİRİM FİYAT</t>
  </si>
  <si>
    <t>YIL/AD</t>
  </si>
  <si>
    <t>TOPLAM FİYAT</t>
  </si>
  <si>
    <t>INSURANCE</t>
  </si>
  <si>
    <t>Construction All Risk C.A.R expenses</t>
  </si>
  <si>
    <t>Third party insurance expenses</t>
  </si>
  <si>
    <t>Indemnity Insurance expenses</t>
  </si>
  <si>
    <t>SUB TOTAL</t>
  </si>
  <si>
    <t>ARA TOPLAM</t>
  </si>
  <si>
    <t>TOPLAM</t>
  </si>
  <si>
    <t>Custom Charges in Turkey</t>
  </si>
  <si>
    <t>Yorgan</t>
  </si>
  <si>
    <t>Custom Charges in Local Country</t>
  </si>
  <si>
    <t>Dolap</t>
  </si>
  <si>
    <t>Transportation Insurance expenses</t>
  </si>
  <si>
    <t>Transportation  Charges</t>
  </si>
  <si>
    <t>Any legal Fees</t>
  </si>
  <si>
    <t>Rental House Furnishing</t>
  </si>
  <si>
    <t>Oturma takımı</t>
  </si>
  <si>
    <t>RESOURCE PLANNING</t>
  </si>
  <si>
    <t>Yatak ve karyola</t>
  </si>
  <si>
    <t>S.No.</t>
  </si>
  <si>
    <t>Turkish</t>
  </si>
  <si>
    <t>Yatak takımı ( yastık,nevresim,yorgan )</t>
  </si>
  <si>
    <t>TECHNİCAL PERSONNEL</t>
  </si>
  <si>
    <t>Project Manager</t>
  </si>
  <si>
    <t>Construction Manager</t>
  </si>
  <si>
    <t>Klima veya ısıtıcı</t>
  </si>
  <si>
    <t>Finishing works Manager</t>
  </si>
  <si>
    <t>Elektrikli eşya ( buzdolabı,çamaşır mak,TV,ütü,süpürge )</t>
  </si>
  <si>
    <t>Structural Engineer</t>
  </si>
  <si>
    <t>Electrical Engineers</t>
  </si>
  <si>
    <t>Mechanical Engineers</t>
  </si>
  <si>
    <t>QA/QC Engineers</t>
  </si>
  <si>
    <t>Planning engineer</t>
  </si>
  <si>
    <t>Cost Control Engineers</t>
  </si>
  <si>
    <t>Health &amp; Safety Engineer  (HSE)</t>
  </si>
  <si>
    <t>Draughtsman</t>
  </si>
  <si>
    <t>ADMINISTRATION OFFICE</t>
  </si>
  <si>
    <t>Administrative Manager</t>
  </si>
  <si>
    <t>Accountant</t>
  </si>
  <si>
    <t>Purchase officer</t>
  </si>
  <si>
    <t>Translator</t>
  </si>
  <si>
    <t>Personel  Chief</t>
  </si>
  <si>
    <t>Stock officer</t>
  </si>
  <si>
    <t>Secretary</t>
  </si>
  <si>
    <t>Tea man/Lady</t>
  </si>
  <si>
    <t>Health Officer(doctors)</t>
  </si>
  <si>
    <t xml:space="preserve">Lawyer </t>
  </si>
  <si>
    <t>Site Chief</t>
  </si>
  <si>
    <t>Camp supervisor</t>
  </si>
  <si>
    <t>Formen (Turkish)</t>
  </si>
  <si>
    <t>Cleaning staff</t>
  </si>
  <si>
    <t>AMORT.</t>
  </si>
  <si>
    <t>EQUIPMENT &amp; PLANT EXPENSES</t>
  </si>
  <si>
    <t>MACHINES</t>
  </si>
  <si>
    <t>Tower Cranes-transport rail</t>
  </si>
  <si>
    <t>Tower Cranes-Hydrolic climbing set</t>
  </si>
  <si>
    <t>Mobile Cranes</t>
  </si>
  <si>
    <t>JCB</t>
  </si>
  <si>
    <t>Cylinder</t>
  </si>
  <si>
    <t>SİTE EQUIPMENT</t>
  </si>
  <si>
    <t>Generator+Light tower</t>
  </si>
  <si>
    <t>Genarator izolated panel 250 KWA</t>
  </si>
  <si>
    <t>Generator isolated panel 150 KWA</t>
  </si>
  <si>
    <t>Compactor</t>
  </si>
  <si>
    <t>Vibrators 45 mm pipe</t>
  </si>
  <si>
    <t>Vibrators 60 mm pipe</t>
  </si>
  <si>
    <t>Vibratörs Conventor</t>
  </si>
  <si>
    <t xml:space="preserve">Bar Bending Machine 42 mm </t>
  </si>
  <si>
    <t xml:space="preserve">Bar Bending Machine 36 mm </t>
  </si>
  <si>
    <t>Welding tools</t>
  </si>
  <si>
    <t>Hidrafor 5 m3/h</t>
  </si>
  <si>
    <t>Water pumps</t>
  </si>
  <si>
    <t>Surveyor Level</t>
  </si>
  <si>
    <t>Total Station</t>
  </si>
  <si>
    <t>Surface Polishing(Perdah) Machine</t>
  </si>
  <si>
    <t>Surface Polishing(Perdah) Machine Tray</t>
  </si>
  <si>
    <t>Site Cars 4x4</t>
  </si>
  <si>
    <t>Saloon type cars</t>
  </si>
  <si>
    <t>Service Bus</t>
  </si>
  <si>
    <t>Pick up car</t>
  </si>
  <si>
    <t>SITE FACILITY &amp; CAMP BUILDINGS</t>
  </si>
  <si>
    <t>Refectory</t>
  </si>
  <si>
    <t>Laundry</t>
  </si>
  <si>
    <t>Management building</t>
  </si>
  <si>
    <t>Labour camping building (rent or construction)</t>
  </si>
  <si>
    <t>Security building</t>
  </si>
  <si>
    <t>Toilets - showers const work</t>
  </si>
  <si>
    <t>Toilets - showers office</t>
  </si>
  <si>
    <t xml:space="preserve">Mobile floor toilets </t>
  </si>
  <si>
    <t>Stock buildings 500 M2</t>
  </si>
  <si>
    <t>Workshop 500 M2</t>
  </si>
  <si>
    <t>INSTALLATIONS</t>
  </si>
  <si>
    <t>Site camp building installation costs</t>
  </si>
  <si>
    <t>Site building decommisioning costs</t>
  </si>
  <si>
    <t xml:space="preserve">Site electrical expenses </t>
  </si>
  <si>
    <t>Site mechanic expenses</t>
  </si>
  <si>
    <t>Site Concrete</t>
  </si>
  <si>
    <t>OPERATING COSTS</t>
  </si>
  <si>
    <t>Fuel/Gas</t>
  </si>
  <si>
    <t>Water</t>
  </si>
  <si>
    <t>Electricity</t>
  </si>
  <si>
    <t>Communication &amp; internet</t>
  </si>
  <si>
    <t>Heating cost</t>
  </si>
  <si>
    <t>Other</t>
  </si>
  <si>
    <t>PC &amp; Printer</t>
  </si>
  <si>
    <t>Office Furnitures</t>
  </si>
  <si>
    <t>TV &amp; Satallite Etc.</t>
  </si>
  <si>
    <t>A/C Site camps</t>
  </si>
  <si>
    <t>A/C Office</t>
  </si>
  <si>
    <r>
      <t>Water R</t>
    </r>
    <r>
      <rPr>
        <b/>
        <sz val="12"/>
        <rFont val="Times New Roman"/>
        <family val="1"/>
        <charset val="162"/>
      </rPr>
      <t>efrigerator</t>
    </r>
  </si>
  <si>
    <t>Kitchen tools</t>
  </si>
  <si>
    <t>Dining table and chairs</t>
  </si>
  <si>
    <t>UNFORESEEN</t>
  </si>
  <si>
    <t>Management Expenses</t>
  </si>
  <si>
    <t>Contingency</t>
  </si>
  <si>
    <t>Price Escallations</t>
  </si>
  <si>
    <t>GENERAL EXPENSES   TOTAL</t>
  </si>
  <si>
    <t>1.VISA EXPENSES</t>
  </si>
  <si>
    <t xml:space="preserve">2. ACCOMODATION </t>
  </si>
  <si>
    <t>3. LABOUR SALARIES</t>
  </si>
  <si>
    <t>4. SOCIAL SECURITY EXPENSES</t>
  </si>
  <si>
    <t>4.TRAVEL EXPENSES</t>
  </si>
  <si>
    <t>5. FOOD EXPENSES</t>
  </si>
  <si>
    <t>5. TOTAL COST PER LABOUR</t>
  </si>
  <si>
    <t>No of flights</t>
  </si>
  <si>
    <t>PER DAY</t>
  </si>
  <si>
    <t>USD</t>
  </si>
  <si>
    <t>1. Year</t>
  </si>
  <si>
    <t>PPRoom</t>
  </si>
  <si>
    <t>TURKISH/month</t>
  </si>
  <si>
    <t>INT./month</t>
  </si>
  <si>
    <t>COST RATIO</t>
  </si>
  <si>
    <t>DESCRIPTION</t>
  </si>
  <si>
    <t>QTR</t>
  </si>
  <si>
    <t>TR / INT.</t>
  </si>
  <si>
    <t>Immigration</t>
  </si>
  <si>
    <t>Room per month</t>
  </si>
  <si>
    <t>SKILLED</t>
  </si>
  <si>
    <t>TURKEY</t>
  </si>
  <si>
    <t>FLIGHT</t>
  </si>
  <si>
    <t>Medical Check</t>
  </si>
  <si>
    <t>Cost per person</t>
  </si>
  <si>
    <t>UN SKILLED</t>
  </si>
  <si>
    <t>LOCAL*</t>
  </si>
  <si>
    <t>TOTAL COST</t>
  </si>
  <si>
    <t>PER MONTH</t>
  </si>
  <si>
    <t>Labour Dept</t>
  </si>
  <si>
    <t>FORMAN</t>
  </si>
  <si>
    <t>COST PER MONTH</t>
  </si>
  <si>
    <t>Resident Permit</t>
  </si>
  <si>
    <t>OPERATOR</t>
  </si>
  <si>
    <t>* Analysis per month  500 qtr salary*30 days*12 months*0,015 ratio</t>
  </si>
  <si>
    <t>Per Month</t>
  </si>
  <si>
    <t>Per year</t>
  </si>
  <si>
    <t>Per month</t>
  </si>
  <si>
    <t>2nd and Following years</t>
  </si>
  <si>
    <t>TURKISH LABOURS</t>
  </si>
  <si>
    <t>Passport</t>
  </si>
  <si>
    <t>Pass extension</t>
  </si>
  <si>
    <t>SITE &amp; CAMPİNG EXPENSES</t>
  </si>
  <si>
    <t>GENERAL EXPENSES SUMMARY</t>
  </si>
  <si>
    <t>ESTIMATED</t>
  </si>
  <si>
    <t>ACTUAL</t>
  </si>
  <si>
    <t xml:space="preserve">ESTIMATED GENERAL EXPENSES </t>
  </si>
  <si>
    <t>ACTUAL GENERAL EXPENSES</t>
  </si>
  <si>
    <t>COST</t>
  </si>
  <si>
    <t>Food</t>
  </si>
  <si>
    <t>sa</t>
  </si>
  <si>
    <t>M3</t>
  </si>
  <si>
    <t>mt</t>
  </si>
  <si>
    <t>m³</t>
  </si>
  <si>
    <t>M2</t>
  </si>
  <si>
    <t>m²</t>
  </si>
  <si>
    <t>TON</t>
  </si>
  <si>
    <t>kg</t>
  </si>
  <si>
    <t>kğ</t>
  </si>
  <si>
    <t>Naylon örtü 110gr/m2</t>
  </si>
  <si>
    <t>Fırça ve rulo</t>
  </si>
  <si>
    <t xml:space="preserve"> </t>
  </si>
  <si>
    <t>A</t>
  </si>
  <si>
    <t>B</t>
  </si>
  <si>
    <t>C</t>
  </si>
  <si>
    <t>ton</t>
  </si>
  <si>
    <t>Total</t>
  </si>
  <si>
    <t>No.</t>
  </si>
  <si>
    <t xml:space="preserve">GENERAL EXPENSES FOR THE PROJECT </t>
  </si>
  <si>
    <t xml:space="preserve">EXCAVATION AND EARTHWORKS </t>
  </si>
  <si>
    <t>a</t>
  </si>
  <si>
    <t>b</t>
  </si>
  <si>
    <t>d</t>
  </si>
  <si>
    <t>m</t>
  </si>
  <si>
    <t>FORMWORK</t>
  </si>
  <si>
    <t>1000 Gauge polythene protective membrane.</t>
  </si>
  <si>
    <t>Allow for all expansion joints using 12 mm Flexcel Sheets between Ground beams enternal edges &amp; the salbs on grade</t>
  </si>
  <si>
    <t>200 , 150 &amp;  100 mm for enternal &amp; external Walls.</t>
  </si>
  <si>
    <t xml:space="preserve">GRC Cover To all A/C ( window type as Covers ) </t>
  </si>
  <si>
    <t>200 x 100 x 60 mm Interlocking precast concrete paviors in approved colours set to approved pattern; laid on and including 100 mm compacted sand bed; joints filled with mortar as specified.</t>
  </si>
  <si>
    <t>8 mm dia.6 meter length</t>
  </si>
  <si>
    <t>10 mm dia , 12 meter length</t>
  </si>
  <si>
    <t>12 mm dia , 12 meter length</t>
  </si>
  <si>
    <t>14 mm dia , 12 meter length</t>
  </si>
  <si>
    <t>16 mm - 32 mm dia , 12 meter length</t>
  </si>
  <si>
    <t>WIRE MESH</t>
  </si>
  <si>
    <t>Wire mesh A 142 ( 2.4 * 4.8 ) 6 mm</t>
  </si>
  <si>
    <t>Sheet</t>
  </si>
  <si>
    <t>Wire mesh A 193 ( 2.4 * 4.8 ) 7 mm</t>
  </si>
  <si>
    <t>Wire mesh A 252 ( 2.4 * 4.8 ) 8 mm</t>
  </si>
  <si>
    <t>Wire mesh A 393 ( 2.4 * 4.8 )10 mm</t>
  </si>
  <si>
    <t xml:space="preserve">SUPPLIERS OF BUILDING MATERIAL </t>
  </si>
  <si>
    <t xml:space="preserve">Name </t>
  </si>
  <si>
    <t>Fax.</t>
  </si>
  <si>
    <t>Tel.</t>
  </si>
  <si>
    <t xml:space="preserve">Items </t>
  </si>
  <si>
    <t xml:space="preserve">Rashid A . Al Rashid &amp; Sons. Co. </t>
  </si>
  <si>
    <t>Reinforcement Steel Bars , Normal formwork ( Plywood, white wood ) Scafolding , Prop Jaks, Black sheet steel , Steel Angles Steel tubes …etc.</t>
  </si>
  <si>
    <t>P.O Box</t>
  </si>
  <si>
    <t>E-mail</t>
  </si>
  <si>
    <t>qatar@rarbmd.com</t>
  </si>
  <si>
    <t>Arab Building Materials Co. of Qatar</t>
  </si>
  <si>
    <t>abmc@qatar.net.qa</t>
  </si>
  <si>
    <t>EXCAVATION :</t>
  </si>
  <si>
    <t xml:space="preserve">EXCAVATION FOR 2 ATTACHED VILLAS </t>
  </si>
  <si>
    <t>2 attached Villas</t>
  </si>
  <si>
    <t>Nos.</t>
  </si>
  <si>
    <t>DAIMENSION</t>
  </si>
  <si>
    <t>H. Area</t>
  </si>
  <si>
    <t>V. Area</t>
  </si>
  <si>
    <t>Depth</t>
  </si>
  <si>
    <t>Villas</t>
  </si>
  <si>
    <t>Out Building</t>
  </si>
  <si>
    <t xml:space="preserve"> LOSSES 5 % FOR BLINDING</t>
  </si>
  <si>
    <t>TOTAL WITH LOSSES</t>
  </si>
  <si>
    <t xml:space="preserve">TERMITE CONTROL TREATMENT </t>
  </si>
  <si>
    <t xml:space="preserve">Termite Control </t>
  </si>
  <si>
    <t>FOUNDATIONS:</t>
  </si>
  <si>
    <t>1- BLINDING FOR 4 NOS. VILLAS ( TOW ATTACHED * 2)</t>
  </si>
  <si>
    <t>4- Villas</t>
  </si>
  <si>
    <t>thickness</t>
  </si>
  <si>
    <t>F1</t>
  </si>
  <si>
    <t>F2</t>
  </si>
  <si>
    <t>F3</t>
  </si>
  <si>
    <t>F4</t>
  </si>
  <si>
    <t>F5</t>
  </si>
  <si>
    <t>F6</t>
  </si>
  <si>
    <t xml:space="preserve"> LOSSES 10 % FOR BLINDING</t>
  </si>
  <si>
    <t xml:space="preserve">COLLECTION  ( BLINDING ) : </t>
  </si>
  <si>
    <t>20 N/mm2 SRC GABRO , BLINDING :</t>
  </si>
  <si>
    <t xml:space="preserve">COLLECTION  ( FOUNDATIONS) : </t>
  </si>
  <si>
    <t xml:space="preserve">30 N/mm2 SRC GABRO , R/C FOUNDATION: </t>
  </si>
  <si>
    <t>FORMWORK :FOUNDATIONS:</t>
  </si>
  <si>
    <t xml:space="preserve">FORMWORK FOR FOUNDATION </t>
  </si>
  <si>
    <t>GROUN BEAMS :</t>
  </si>
  <si>
    <t>GB</t>
  </si>
  <si>
    <t>Length</t>
  </si>
  <si>
    <t>Side</t>
  </si>
  <si>
    <t>GB1</t>
  </si>
  <si>
    <t>BLOCK WORK</t>
  </si>
  <si>
    <t xml:space="preserve">FORMWORK </t>
  </si>
  <si>
    <t>GB2</t>
  </si>
  <si>
    <t>GB3</t>
  </si>
  <si>
    <t>GB4</t>
  </si>
  <si>
    <t>COLLECTION ( GROUND BEAMS) :</t>
  </si>
  <si>
    <t xml:space="preserve">30N/mm2 SRC , R/C GROUN BEAMS </t>
  </si>
  <si>
    <t>FORMWORK :GROUNDBEAMS</t>
  </si>
  <si>
    <t>FORMWORK FORGROUNDBEAMS</t>
  </si>
  <si>
    <t xml:space="preserve">IMPORTED BACKFILL MATERIALS </t>
  </si>
  <si>
    <t>REMOVE SURPLUS EXCAVATED MATERIALS FROM SITE</t>
  </si>
  <si>
    <t>10 CM THICK R.C. SLAB ON GRADE :</t>
  </si>
  <si>
    <t>Thickness</t>
  </si>
  <si>
    <t>COLLECTION ( SLABS ON GRADE ) :</t>
  </si>
  <si>
    <t xml:space="preserve">30N/mm2 OPC , R/C SLAB ON GRADE  </t>
  </si>
  <si>
    <t xml:space="preserve">A142 STEEL MESH OVER WELL COMPACTED SOIL </t>
  </si>
  <si>
    <t xml:space="preserve">SLABS : </t>
  </si>
  <si>
    <t xml:space="preserve">SLAB S1 </t>
  </si>
  <si>
    <t>SLAB S2</t>
  </si>
  <si>
    <t xml:space="preserve">SLAB S2 </t>
  </si>
  <si>
    <t>SLAB S3</t>
  </si>
  <si>
    <t>COLLECTION ( SLABS  ) :</t>
  </si>
  <si>
    <t xml:space="preserve">30N/mm2 OPC , R/C SLAB   </t>
  </si>
  <si>
    <t>FORMWORK :SLABS</t>
  </si>
  <si>
    <t>FORMWORK FOR SLABS</t>
  </si>
  <si>
    <t>HORDI SLAB 1</t>
  </si>
  <si>
    <t>HORDI SLAB 2</t>
  </si>
  <si>
    <t>COLLECTION ( HORDI BLOCK  ) :</t>
  </si>
  <si>
    <t xml:space="preserve">HORDI BLOCK </t>
  </si>
  <si>
    <t>BEAMS :</t>
  </si>
  <si>
    <t xml:space="preserve"> BEAMS ( GROUND FLOOR  CEILING BEAMS ) :</t>
  </si>
  <si>
    <t>B1</t>
  </si>
  <si>
    <t>B2</t>
  </si>
  <si>
    <t>B3</t>
  </si>
  <si>
    <t>B4</t>
  </si>
  <si>
    <t>B5</t>
  </si>
  <si>
    <t>COLLECTION ( BEAMS  ) :</t>
  </si>
  <si>
    <t xml:space="preserve">30N/mm2 OPC GABRO R/C </t>
  </si>
  <si>
    <t>TOTAL BLOCK WORK</t>
  </si>
  <si>
    <t>COLUMNS :</t>
  </si>
  <si>
    <t>COLUMNS ( GROUND FLOOR  ):</t>
  </si>
  <si>
    <t>NOS</t>
  </si>
  <si>
    <t>V.(a) Area</t>
  </si>
  <si>
    <t>V.(b) Area</t>
  </si>
  <si>
    <t>C1</t>
  </si>
  <si>
    <t>C2</t>
  </si>
  <si>
    <t>C3</t>
  </si>
  <si>
    <t xml:space="preserve"> COLUMNS ( FIRST FLOOR  ):</t>
  </si>
  <si>
    <t xml:space="preserve"> COLUMNS ( PENT HOUSE  ) :</t>
  </si>
  <si>
    <t>COLLECTION ( COLUMNS  ) :</t>
  </si>
  <si>
    <t>FORMWORK :COLUMNS :</t>
  </si>
  <si>
    <t>FORMWORK FOR COLUMNS</t>
  </si>
  <si>
    <t>STAIRS &amp; LANDINGS :</t>
  </si>
  <si>
    <t xml:space="preserve">FORMWORK FOR THE STAIRCASE </t>
  </si>
  <si>
    <t>STEEL IN ASSORTED DIA.( TON )</t>
  </si>
  <si>
    <t>Two coats of bituminous paint To horizontal &amp; Vertical surfaces of concrete..</t>
  </si>
  <si>
    <t xml:space="preserve">WATER PROOFING SYSTEM FOR WET AREAS </t>
  </si>
  <si>
    <t>PRECAST  IN-SITU CONCRETE</t>
  </si>
  <si>
    <t>LENTLE FOR DOOR D2 ( 1.0 * 2.2 m )= 0.2*0.2*1.4</t>
  </si>
  <si>
    <t>LENTLE FOR DOOR D3 ( 1.0 * 2.2 m )= 0.2*0.2*1.3</t>
  </si>
  <si>
    <t>EXTERNAL AINT</t>
  </si>
  <si>
    <t>CERAMIC FOR BATHS &amp; KITCHENS : FLOORS</t>
  </si>
  <si>
    <t>CERAMIC FOR BATHS &amp; KITCHENS :WALLS</t>
  </si>
  <si>
    <t>GRANITE FOR THE STEPS &amp; ENTRANCES</t>
  </si>
  <si>
    <t>Clear site of all debris, loose material, rubbish, trees, shrubs and ground cover.(m2)</t>
  </si>
  <si>
    <t>Boundary Walls including the Gates m'</t>
  </si>
  <si>
    <t>EXCAVATION FOR  FOUNDATIONS 1.2 m DEPTH</t>
  </si>
  <si>
    <t>Total Nos. Of DOORS :</t>
  </si>
  <si>
    <t>Total Nos. Of WINDOWS :</t>
  </si>
  <si>
    <t>ALUNIMUM HANDRAIL</t>
  </si>
  <si>
    <t xml:space="preserve">Imported back fill ( dune sand for the external works </t>
  </si>
  <si>
    <t>BLOCK FILLED WITH CONCRETE UNDER G.BEAMS ( m2)</t>
  </si>
  <si>
    <t xml:space="preserve">Backfill selected excavated material compacted in layers </t>
  </si>
  <si>
    <t>10- Nos.</t>
  </si>
  <si>
    <t>Daimensions</t>
  </si>
  <si>
    <t>Sides</t>
  </si>
  <si>
    <t>GB3*</t>
  </si>
  <si>
    <t>GROUND BEAMS FOR20 NOS. VILLAS ( TOW ATTACHED *10)</t>
  </si>
  <si>
    <t xml:space="preserve">1- SLABS FOR20 NOS VILLAS  ( GROUND FLOOR CEILING ): </t>
  </si>
  <si>
    <t xml:space="preserve">2- SLABS FOR20 NOS VILLAS  ( FIRST FLOOR CEILING ): </t>
  </si>
  <si>
    <t xml:space="preserve">3- SLABS FOR 20 NOS VILLAS  ( FPENT HOUSE CEILING ) : </t>
  </si>
  <si>
    <t>HORDI SLABS (FIRST FLOOR CEILING ) 20 Nos.VILLAS :</t>
  </si>
  <si>
    <t>HORDI SLABS (GROUND FLOOR CEILING ) 20 Nos.VILLAS :</t>
  </si>
  <si>
    <t>HORDI SLAB 3</t>
  </si>
  <si>
    <t>HORDI SLAB 4</t>
  </si>
  <si>
    <t>HORDI SLAB 5</t>
  </si>
  <si>
    <t>B2*</t>
  </si>
  <si>
    <t>B3*</t>
  </si>
  <si>
    <t>1-  FOR 20 NOS. VILLAS</t>
  </si>
  <si>
    <t>CB1</t>
  </si>
  <si>
    <t xml:space="preserve"> BEAMS ( FIRST  FLOOR  CEILING BEAMS ) :</t>
  </si>
  <si>
    <t>2-  FOR 20 NOS. VILLAS</t>
  </si>
  <si>
    <t>CONCRETE SLABS OVER HORDI BLOCKS</t>
  </si>
  <si>
    <t xml:space="preserve"> BEAMS ( PENT HOUSE  CEILING BEAMS ) :</t>
  </si>
  <si>
    <t xml:space="preserve">SELECTED EXCAVATED BACKFILL MATERIALS (35% FROM THE TOTAL EXCAVATION </t>
  </si>
  <si>
    <t>3-  FOR 20 NOS. VILLAS</t>
  </si>
  <si>
    <t>10 No.  attached Villas</t>
  </si>
  <si>
    <t xml:space="preserve">1-  FOR 20 NOS. VILLAS </t>
  </si>
  <si>
    <t xml:space="preserve">2-  FOR 20 NOS. VILLAS </t>
  </si>
  <si>
    <t xml:space="preserve">3-  FOR 20 NOS. VILLAS </t>
  </si>
  <si>
    <t>1- R/C CONCRETE FOR 20 NOS. VILLAS 30 N/ mm2 OPC Gabro</t>
  </si>
  <si>
    <t xml:space="preserve">Expansion Joint </t>
  </si>
  <si>
    <t>HORDI Block SLAB 1</t>
  </si>
  <si>
    <t>FORMWORK FOR BEAMS</t>
  </si>
  <si>
    <t xml:space="preserve">FORMWORK FOR STAIRS &amp; LANDINGS </t>
  </si>
  <si>
    <t xml:space="preserve">COLLECTION FOR STAIRS &amp; LANDINGS </t>
  </si>
  <si>
    <t xml:space="preserve">CONCERET TOTAL </t>
  </si>
  <si>
    <t xml:space="preserve">TOTAL CONCRETE </t>
  </si>
  <si>
    <t>WATER PROOFING SYSTEM FOR FLAT AREA OF THE ROOF</t>
  </si>
  <si>
    <t>UP STANDS FOR THE ROOFm'</t>
  </si>
  <si>
    <t>UPSTANDS FOR THE WET AREAS</t>
  </si>
  <si>
    <t>Wall Hight</t>
  </si>
  <si>
    <t>Block W</t>
  </si>
  <si>
    <t>PORCILIAN TILE 30 * 30  tile  for all floorings</t>
  </si>
  <si>
    <t xml:space="preserve">MARBLE FOR THE STAIR LANDINGS </t>
  </si>
  <si>
    <t>LENTLE FOR DOOR D1 ( 1.6 * 2.2 m )= 0.2*0.2*2.0</t>
  </si>
  <si>
    <t>LENTLE FOR WINDOW W2 ( 1.0 * 1.2 m )= 0.2*0.2*1.4</t>
  </si>
  <si>
    <t>LENTLE FOR WINDOW W3 ( 0.8 * 0.8 m )= 0.2*0.2*1.0</t>
  </si>
  <si>
    <t>LENTLE FOR WINDOW W4 ( 0.6 * 1.8 m )= 0.2*0.2*1</t>
  </si>
  <si>
    <t>LENTLE FOR WINDOW W1 ( 1.0 * 1.5 m )= 0.2*0.2*1.8</t>
  </si>
  <si>
    <t>SLAB ON GRADE FOR THE VILLAS</t>
  </si>
  <si>
    <t>STEEL MESH A 142</t>
  </si>
  <si>
    <t>5.TRAVEL EXPENSES</t>
  </si>
  <si>
    <t>FOR LABOR</t>
  </si>
  <si>
    <t>No of flights per year</t>
  </si>
  <si>
    <t>TURKISH TECHNICAL STAFF</t>
  </si>
  <si>
    <t>House per month</t>
  </si>
  <si>
    <t>Cost per person per month</t>
  </si>
  <si>
    <t>6. FOOD EXPENSES</t>
  </si>
  <si>
    <t>LOCAL TECHNICAL STAFF</t>
  </si>
  <si>
    <t>House Allowance per month</t>
  </si>
  <si>
    <t>7. TOTAL COST PER LABOUR</t>
  </si>
  <si>
    <t>TECHNICAL STAFF COST ANALYSES</t>
  </si>
  <si>
    <t>TURKISH</t>
  </si>
  <si>
    <t>Salary</t>
  </si>
  <si>
    <t>Accomodation</t>
  </si>
  <si>
    <t>SSK</t>
  </si>
  <si>
    <t>Travel</t>
  </si>
  <si>
    <t>Visa</t>
  </si>
  <si>
    <t>LOCAL</t>
  </si>
  <si>
    <t xml:space="preserve">Month </t>
  </si>
  <si>
    <t xml:space="preserve">Site Engineers </t>
  </si>
  <si>
    <t>Site Engineers</t>
  </si>
  <si>
    <t>Technical office engineer/Planning engineer</t>
  </si>
  <si>
    <t>Tech office engineer</t>
  </si>
  <si>
    <t xml:space="preserve">Architects </t>
  </si>
  <si>
    <t>Architects</t>
  </si>
  <si>
    <t xml:space="preserve">Land Surveyer </t>
  </si>
  <si>
    <t>Land Surveyer</t>
  </si>
  <si>
    <t xml:space="preserve">Technicians </t>
  </si>
  <si>
    <t>Technicians</t>
  </si>
  <si>
    <t>ADMINISTRATIVE STAFF COST ANALYSES</t>
  </si>
  <si>
    <t>Tea boy</t>
  </si>
  <si>
    <t>Health Officer (doctors)</t>
  </si>
  <si>
    <t>GENERAL OFFICE TEAM EXPENSES</t>
  </si>
  <si>
    <t>General Manager</t>
  </si>
  <si>
    <t>YARISI PROJE İÇİN ŞARJ EDİLDİ</t>
  </si>
  <si>
    <t>Technical Office Engineers</t>
  </si>
  <si>
    <t xml:space="preserve">CAMP &amp; OPERATIONAL STAFF </t>
  </si>
  <si>
    <t>Securities</t>
  </si>
  <si>
    <t xml:space="preserve">Cook &amp; Kitchen Personnel </t>
  </si>
  <si>
    <t xml:space="preserve">Drivers </t>
  </si>
  <si>
    <t xml:space="preserve">Crane operator </t>
  </si>
  <si>
    <t>CAMP STAFF COST ANALYSES</t>
  </si>
  <si>
    <t>LABOUR GROUP 1</t>
  </si>
  <si>
    <t xml:space="preserve">Skilled Labour Carpenter </t>
  </si>
  <si>
    <t xml:space="preserve">Skilled Labour Steel fixer </t>
  </si>
  <si>
    <t xml:space="preserve">Skilled Labour Blockwork </t>
  </si>
  <si>
    <t>Skilled Labour Painter</t>
  </si>
  <si>
    <t xml:space="preserve">Un-Skilled Labour </t>
  </si>
  <si>
    <t xml:space="preserve">Cooker&amp; Kitchen Personnel </t>
  </si>
  <si>
    <t>LABOUR GROUP 2</t>
  </si>
  <si>
    <t>Formen</t>
  </si>
  <si>
    <t>LABOR COST ANALYSES</t>
  </si>
  <si>
    <t>Skilled Labour Steel fixer</t>
  </si>
  <si>
    <t xml:space="preserve">Skilled Labour Mason </t>
  </si>
  <si>
    <t>MONTHLY INSTALMENTS</t>
  </si>
  <si>
    <t>CONTRACT PRICE EVALUATION</t>
  </si>
  <si>
    <t>FINANCE</t>
  </si>
  <si>
    <t xml:space="preserve">Commission % </t>
  </si>
  <si>
    <t>MONTH</t>
  </si>
  <si>
    <t>1. AY</t>
  </si>
  <si>
    <t>2.AY</t>
  </si>
  <si>
    <t>3.AY</t>
  </si>
  <si>
    <t>4.AY</t>
  </si>
  <si>
    <t>5.AY</t>
  </si>
  <si>
    <t>6.AY</t>
  </si>
  <si>
    <t>CONTRACT PRICE AS QAR</t>
  </si>
  <si>
    <t>TIME</t>
  </si>
  <si>
    <t>TURKISH BANK</t>
  </si>
  <si>
    <t>Tender Bond</t>
  </si>
  <si>
    <t>RATE (QAR/$)</t>
  </si>
  <si>
    <t xml:space="preserve">Advance Payment </t>
  </si>
  <si>
    <t>CONTRACT PRICE AS $</t>
  </si>
  <si>
    <t>Performance Bond</t>
  </si>
  <si>
    <t>Murabaha Expenses</t>
  </si>
  <si>
    <t>LETTER OF GUARANTEE</t>
  </si>
  <si>
    <t>LOCAL BANK</t>
  </si>
  <si>
    <t>Approval comission for Tender</t>
  </si>
  <si>
    <t>TURKISH BANK PERCENTAGES</t>
  </si>
  <si>
    <t>Percentage of Tender Bond from Turkish Bank</t>
  </si>
  <si>
    <t>Approval comission for Advance</t>
  </si>
  <si>
    <t>Percentage of Advance Payement from Turkish Bank</t>
  </si>
  <si>
    <t>Approval comission for Performance</t>
  </si>
  <si>
    <t>Percentage of Performance Bond</t>
  </si>
  <si>
    <t>LOCAL BANK PERCENTAGES</t>
  </si>
  <si>
    <t xml:space="preserve">Performance Bond </t>
  </si>
  <si>
    <t>Mudaraba Expenses</t>
  </si>
  <si>
    <t>INSURANCE EVALUATION</t>
  </si>
  <si>
    <t xml:space="preserve">Construction All Risk </t>
  </si>
  <si>
    <t>Percentage of Contract to be insured</t>
  </si>
  <si>
    <t xml:space="preserve">Third Party Insurance </t>
  </si>
  <si>
    <t>Indemnity Insurance</t>
  </si>
  <si>
    <t>CUSTOM CHARGES</t>
  </si>
  <si>
    <t>CONTAINER</t>
  </si>
  <si>
    <t>RATE</t>
  </si>
  <si>
    <t>VALUE</t>
  </si>
  <si>
    <t xml:space="preserve">CUSTOM </t>
  </si>
  <si>
    <t>STAFF EXPENSES</t>
  </si>
  <si>
    <t>TURKISH TECHNİCAL</t>
  </si>
  <si>
    <t>LOCAL TECHNICAL</t>
  </si>
  <si>
    <t>TURKISH ADMINISTRATIVE</t>
  </si>
  <si>
    <t>LOCAL ADMINISTRATIVE</t>
  </si>
  <si>
    <t>GENERAL OFFICE EXPENSES</t>
  </si>
  <si>
    <t>TURKISH CAMP STAFF</t>
  </si>
  <si>
    <t>LOCAL CAMP STAFF</t>
  </si>
  <si>
    <t>TURKISH LABOR GROUP 1</t>
  </si>
  <si>
    <t>Skilled Labour Blockwork</t>
  </si>
  <si>
    <t>TURKISH LABOR GROUP 2</t>
  </si>
  <si>
    <t>LOCAL LABOR</t>
  </si>
  <si>
    <t>MURABHA AY ADETİ</t>
  </si>
  <si>
    <t>TAKSİT ADETİ</t>
  </si>
  <si>
    <t>FIXED</t>
  </si>
  <si>
    <t>Tower Cranes purchase option</t>
  </si>
  <si>
    <t>Rent option</t>
  </si>
  <si>
    <t>Alimak Hoist lift</t>
  </si>
  <si>
    <t>Katardan Alınan Şantiye Malzemelri</t>
  </si>
  <si>
    <t>Safety Tools &amp; Equipment</t>
  </si>
  <si>
    <t>Jenerator fuel consumption</t>
  </si>
  <si>
    <t>CAMP FURNISHING</t>
  </si>
  <si>
    <t xml:space="preserve">TOTAL INITIAL GENERAL EXPENSES </t>
  </si>
  <si>
    <t>UNFORSEEN</t>
  </si>
  <si>
    <t>direct</t>
  </si>
  <si>
    <t>indirect</t>
  </si>
  <si>
    <t>CUSTOM</t>
  </si>
  <si>
    <t>GENERAL EXPENSES SEPARATION</t>
  </si>
  <si>
    <t>EXPLANATION</t>
  </si>
  <si>
    <t>EQUIPMENTS, PLANTS, SITE INSTALLATION</t>
  </si>
  <si>
    <t xml:space="preserve">BANKING EXPENSES, STAFF SALARIES, SITE OPERATING COSTS,SOCIAL SECURITY EXP, TRAVEL,  ACCOMODATION </t>
  </si>
  <si>
    <t>VISA, CUSTOM CHARGES, MANAGARIAL COST</t>
  </si>
  <si>
    <t xml:space="preserve"> SUB TOTAL</t>
  </si>
  <si>
    <t>Genarator 50 KWA</t>
  </si>
  <si>
    <t>Generator 50 KWA</t>
  </si>
  <si>
    <t xml:space="preserve"> LOSSES 5 % </t>
  </si>
  <si>
    <t xml:space="preserve"> LOSSES 5%</t>
  </si>
  <si>
    <t xml:space="preserve">Formen </t>
  </si>
  <si>
    <t>QUANTITY SURVEY SUMMARY</t>
  </si>
  <si>
    <t>WORLD TRADE CENTER</t>
  </si>
  <si>
    <t>Date :</t>
  </si>
  <si>
    <t>Description</t>
  </si>
  <si>
    <t>Dimensions</t>
  </si>
  <si>
    <t>Quantities</t>
  </si>
  <si>
    <t>Similar</t>
  </si>
  <si>
    <t>Unit</t>
  </si>
  <si>
    <t>Width</t>
  </si>
  <si>
    <t>Height</t>
  </si>
  <si>
    <t>Plus(+)</t>
  </si>
  <si>
    <t>Minus (-)</t>
  </si>
  <si>
    <t>Types of villas</t>
  </si>
  <si>
    <t>Type A with only ground floor</t>
  </si>
  <si>
    <t>Type B with only ground floor</t>
  </si>
  <si>
    <t>Foundation</t>
  </si>
  <si>
    <t>Foundation area</t>
  </si>
  <si>
    <t>Foundation perimeter</t>
  </si>
  <si>
    <r>
      <t>Construction area (m</t>
    </r>
    <r>
      <rPr>
        <b/>
        <sz val="8"/>
        <rFont val="Tahoma"/>
        <family val="2"/>
      </rPr>
      <t>²</t>
    </r>
    <r>
      <rPr>
        <b/>
        <sz val="8"/>
        <rFont val="Arial"/>
        <family val="2"/>
      </rPr>
      <t>)</t>
    </r>
  </si>
  <si>
    <r>
      <t>Concrete (m</t>
    </r>
    <r>
      <rPr>
        <b/>
        <sz val="8"/>
        <rFont val="Tahoma"/>
        <family val="2"/>
      </rPr>
      <t>³</t>
    </r>
    <r>
      <rPr>
        <b/>
        <sz val="8"/>
        <rFont val="Arial"/>
        <family val="2"/>
      </rPr>
      <t>)</t>
    </r>
  </si>
  <si>
    <t>Blinding</t>
  </si>
  <si>
    <t>Substructure Normal concrete</t>
  </si>
  <si>
    <t>Superstructure Normal concrete</t>
  </si>
  <si>
    <t>Formwork (m²)</t>
  </si>
  <si>
    <t xml:space="preserve">Substructure </t>
  </si>
  <si>
    <t>Superstructure</t>
  </si>
  <si>
    <t>Reinforcement (kg)</t>
  </si>
  <si>
    <t>Calculated Reinforcement ratios</t>
  </si>
  <si>
    <t>Reinforcement ratio for substructure</t>
  </si>
  <si>
    <t>kg/m3</t>
  </si>
  <si>
    <t>Page sum :</t>
  </si>
  <si>
    <t>General sum :</t>
  </si>
  <si>
    <t>PREPARED BY</t>
  </si>
  <si>
    <t>CONTROLLED BY</t>
  </si>
  <si>
    <t>SUB-CONTRACTOR</t>
  </si>
  <si>
    <t>Reinforcement in assorted diameters</t>
  </si>
  <si>
    <t>Steel mesh</t>
  </si>
  <si>
    <t>S3</t>
  </si>
  <si>
    <t>S2</t>
  </si>
  <si>
    <t>S1</t>
  </si>
  <si>
    <t>B6</t>
  </si>
  <si>
    <t>GB7</t>
  </si>
  <si>
    <t>GB6</t>
  </si>
  <si>
    <t>GB5</t>
  </si>
  <si>
    <t>Footings</t>
  </si>
  <si>
    <t>Number</t>
  </si>
  <si>
    <t>Location</t>
  </si>
  <si>
    <t>Work type:</t>
  </si>
  <si>
    <t>Pose Number :</t>
  </si>
  <si>
    <t>TABLE OF CALCULATION</t>
  </si>
  <si>
    <t>TOTAL WEIGHT (Ton)  :</t>
  </si>
  <si>
    <t>WEIGHT (Kg)   :</t>
  </si>
  <si>
    <t>UNIT WEIGHT  (Kg/m)  :</t>
  </si>
  <si>
    <t>TOTAL LENGTH (m)  :</t>
  </si>
  <si>
    <t>SLABS</t>
  </si>
  <si>
    <t>B7</t>
  </si>
  <si>
    <t>NORMAL BEAMS</t>
  </si>
  <si>
    <t>FROM PREVIOUS PAGE (m)  :</t>
  </si>
  <si>
    <t>GROUND BEAMS</t>
  </si>
  <si>
    <t>COLUMNS</t>
  </si>
  <si>
    <t>FOOTINGS</t>
  </si>
  <si>
    <t>length (m)</t>
  </si>
  <si>
    <t>pieces</t>
  </si>
  <si>
    <t>similar</t>
  </si>
  <si>
    <t>diameter</t>
  </si>
  <si>
    <t>WEIGHT (kg)</t>
  </si>
  <si>
    <t>REINFORCEMENT</t>
  </si>
  <si>
    <t>TOTAL LENGTH</t>
  </si>
  <si>
    <t xml:space="preserve">TABLE OF REINFORCEMENT </t>
  </si>
  <si>
    <t>Rev.1</t>
  </si>
  <si>
    <t xml:space="preserve">Date: </t>
  </si>
  <si>
    <t>Certified By:</t>
  </si>
  <si>
    <t>Qrs.</t>
  </si>
  <si>
    <t>:</t>
  </si>
  <si>
    <t xml:space="preserve">9-Net amount 0f this certificate </t>
  </si>
  <si>
    <t>9-Total Due</t>
  </si>
  <si>
    <t>8-Less previous payments</t>
  </si>
  <si>
    <t>7-Total net value to date</t>
  </si>
  <si>
    <t>6-Total deductions</t>
  </si>
  <si>
    <t>5-Less any other deductions</t>
  </si>
  <si>
    <t xml:space="preserve">3-Total value of work done </t>
  </si>
  <si>
    <t>2-Value of variation order items</t>
  </si>
  <si>
    <t>1-Value of executed Contract works</t>
  </si>
  <si>
    <t xml:space="preserve">Advance payment </t>
  </si>
  <si>
    <t xml:space="preserve">Amount of Contract </t>
  </si>
  <si>
    <t xml:space="preserve">Eng. Jamal Gassim Mohammed </t>
  </si>
  <si>
    <t>Client Approval</t>
  </si>
  <si>
    <t>Rate</t>
  </si>
  <si>
    <t>BILL OF QUANTITIES</t>
  </si>
  <si>
    <t>DOORS</t>
  </si>
  <si>
    <t>Ground Beams</t>
  </si>
  <si>
    <t xml:space="preserve">COLUMNS </t>
  </si>
  <si>
    <t>C4</t>
  </si>
  <si>
    <t xml:space="preserve">BEAMS </t>
  </si>
  <si>
    <t>GROUND FLOOR CEILING BEAMS :</t>
  </si>
  <si>
    <t>GROUND FLOOR CEILING SLABS :</t>
  </si>
  <si>
    <t xml:space="preserve">PARAPET </t>
  </si>
  <si>
    <t xml:space="preserve">Attached villas @ Sakhama Area </t>
  </si>
  <si>
    <t xml:space="preserve">Payment Certificate no (1 ) </t>
  </si>
  <si>
    <t>This payment for works &amp; materials on site up to and including 30/01/2012</t>
  </si>
  <si>
    <t>4-Less advance payment Recorery 10% of don work</t>
  </si>
  <si>
    <t>Date:30/01/2012</t>
  </si>
  <si>
    <t xml:space="preserve">FOR MR. AHMED AL MUSLIH </t>
  </si>
  <si>
    <t>F7</t>
  </si>
  <si>
    <t>F8</t>
  </si>
  <si>
    <t>C5</t>
  </si>
  <si>
    <t>SHATF WALL</t>
  </si>
  <si>
    <t>F9 FOR THE LIFT</t>
  </si>
  <si>
    <t>C6</t>
  </si>
  <si>
    <t>C7</t>
  </si>
  <si>
    <t>C8</t>
  </si>
  <si>
    <t>C8" ( completion )</t>
  </si>
  <si>
    <t>B8</t>
  </si>
  <si>
    <t>B9</t>
  </si>
  <si>
    <t>B10</t>
  </si>
  <si>
    <t>B11</t>
  </si>
  <si>
    <t>B4'</t>
  </si>
  <si>
    <t>B5'</t>
  </si>
  <si>
    <t>B11'</t>
  </si>
  <si>
    <t>TYPICAL FLOOR CEILING BEAMS :</t>
  </si>
  <si>
    <t>Nos</t>
  </si>
  <si>
    <t>PROJECT NAME:</t>
  </si>
  <si>
    <t xml:space="preserve">CLIENT: </t>
  </si>
  <si>
    <t>TOTAL / USD</t>
  </si>
  <si>
    <t>MASONARY WORK</t>
  </si>
  <si>
    <t xml:space="preserve">Clear site off all vegetation including small trees, scrubs and bushes: removal of any materials dumped on site </t>
  </si>
  <si>
    <t>Plaster work</t>
  </si>
  <si>
    <t>Painting work</t>
  </si>
  <si>
    <t>CONCREATE WORK FOR SUBSTRUCTURE &amp; SUPERSTRUCTURE</t>
  </si>
  <si>
    <t>L.m</t>
  </si>
  <si>
    <t>Provide and apply to all external walls with two coats of White washing and two coats of Emulsion Paint</t>
  </si>
  <si>
    <r>
      <t>m</t>
    </r>
    <r>
      <rPr>
        <vertAlign val="superscript"/>
        <sz val="11"/>
        <rFont val="Cambria"/>
        <family val="1"/>
        <scheme val="major"/>
      </rPr>
      <t>2</t>
    </r>
  </si>
  <si>
    <r>
      <t>m</t>
    </r>
    <r>
      <rPr>
        <vertAlign val="superscript"/>
        <sz val="11"/>
        <rFont val="Cambria"/>
        <family val="1"/>
        <scheme val="major"/>
      </rPr>
      <t>3</t>
    </r>
  </si>
  <si>
    <t xml:space="preserve">GRAND TOTAL </t>
  </si>
  <si>
    <t>Midnimo School Fencing Wall Extension Kismayo 135L.m</t>
  </si>
  <si>
    <r>
      <t xml:space="preserve">21mpa </t>
    </r>
    <r>
      <rPr>
        <b/>
        <sz val="11"/>
        <rFont val="Cambria"/>
        <family val="1"/>
        <scheme val="major"/>
      </rPr>
      <t>10x20cm</t>
    </r>
    <r>
      <rPr>
        <sz val="11"/>
        <rFont val="Cambria"/>
        <family val="1"/>
        <scheme val="major"/>
      </rPr>
      <t xml:space="preserve"> RC  Toping </t>
    </r>
  </si>
  <si>
    <r>
      <t xml:space="preserve">Ground Beams </t>
    </r>
    <r>
      <rPr>
        <b/>
        <sz val="11"/>
        <rFont val="Cambria"/>
        <family val="1"/>
        <scheme val="major"/>
      </rPr>
      <t>(40x20)cm</t>
    </r>
    <r>
      <rPr>
        <sz val="11"/>
        <rFont val="Cambria"/>
        <family val="1"/>
        <scheme val="major"/>
      </rPr>
      <t xml:space="preserve">  with mix proportion of (1:2:4)</t>
    </r>
  </si>
  <si>
    <r>
      <t xml:space="preserve">21mpa </t>
    </r>
    <r>
      <rPr>
        <b/>
        <sz val="11"/>
        <rFont val="Cambria"/>
        <family val="1"/>
        <scheme val="major"/>
      </rPr>
      <t>40x40cm</t>
    </r>
    <r>
      <rPr>
        <sz val="11"/>
        <rFont val="Cambria"/>
        <family val="1"/>
        <scheme val="major"/>
      </rPr>
      <t xml:space="preserve"> RC  Gate columns </t>
    </r>
    <r>
      <rPr>
        <b/>
        <sz val="11"/>
        <rFont val="Cambria"/>
        <family val="1"/>
        <scheme val="major"/>
      </rPr>
      <t>3.5m</t>
    </r>
    <r>
      <rPr>
        <sz val="11"/>
        <rFont val="Cambria"/>
        <family val="1"/>
        <scheme val="major"/>
      </rPr>
      <t xml:space="preserve"> Height </t>
    </r>
  </si>
  <si>
    <r>
      <t xml:space="preserve">stone wall in foundation, </t>
    </r>
    <r>
      <rPr>
        <b/>
        <sz val="12"/>
        <rFont val="Cambria"/>
        <family val="1"/>
        <scheme val="major"/>
      </rPr>
      <t>40cm</t>
    </r>
    <r>
      <rPr>
        <sz val="12"/>
        <rFont val="Cambria"/>
        <family val="1"/>
        <scheme val="major"/>
      </rPr>
      <t xml:space="preserve"> thickness bedded and jointed with cement sand mortar of 1:4 proportion (1 cement: 4 clean coarse sand) up to a height of 40cm above the Grade averagely</t>
    </r>
  </si>
  <si>
    <r>
      <t xml:space="preserve">Earthwork in excavation of trenches for foundation wall up </t>
    </r>
    <r>
      <rPr>
        <b/>
        <sz val="11"/>
        <rFont val="Cambria"/>
        <family val="1"/>
        <scheme val="major"/>
      </rPr>
      <t>80cm</t>
    </r>
    <r>
      <rPr>
        <sz val="11"/>
        <rFont val="Cambria"/>
        <family val="1"/>
        <scheme val="major"/>
      </rPr>
      <t xml:space="preserve"> from the Grade</t>
    </r>
  </si>
  <si>
    <r>
      <t xml:space="preserve">External  walls cement plastering </t>
    </r>
    <r>
      <rPr>
        <b/>
        <sz val="12"/>
        <rFont val="Cambria"/>
        <family val="1"/>
        <scheme val="major"/>
      </rPr>
      <t>20mm</t>
    </r>
    <r>
      <rPr>
        <sz val="12"/>
        <rFont val="Cambria"/>
        <family val="1"/>
        <scheme val="major"/>
      </rPr>
      <t xml:space="preserve"> thick mortar ratio 1:4</t>
    </r>
  </si>
  <si>
    <r>
      <t xml:space="preserve">D01 Supply and install  double leaf  Steel Gate in  complete with all fittings, hinges, locks and keys - door size </t>
    </r>
    <r>
      <rPr>
        <b/>
        <sz val="12"/>
        <rFont val="Cambria"/>
        <family val="1"/>
        <scheme val="major"/>
      </rPr>
      <t>300x3.5cm</t>
    </r>
    <r>
      <rPr>
        <sz val="12"/>
        <rFont val="Cambria"/>
        <family val="1"/>
        <scheme val="major"/>
      </rPr>
      <t xml:space="preserve"> for the gate</t>
    </r>
  </si>
  <si>
    <r>
      <t xml:space="preserve"> Hollow concrete block  wall </t>
    </r>
    <r>
      <rPr>
        <b/>
        <sz val="12"/>
        <rFont val="Cambria"/>
        <family val="1"/>
        <scheme val="major"/>
      </rPr>
      <t>2.5 height</t>
    </r>
    <r>
      <rPr>
        <sz val="12"/>
        <rFont val="Cambria"/>
        <family val="1"/>
        <scheme val="major"/>
      </rPr>
      <t xml:space="preserve"> Above the grade beam </t>
    </r>
    <r>
      <rPr>
        <b/>
        <sz val="12"/>
        <rFont val="Cambria"/>
        <family val="1"/>
        <scheme val="major"/>
      </rPr>
      <t>(20x20x40)cm</t>
    </r>
    <r>
      <rPr>
        <sz val="12"/>
        <rFont val="Cambria"/>
        <family val="1"/>
        <scheme val="major"/>
      </rPr>
      <t xml:space="preserve"> ,  jointed with cement sand mortar of 1:4proportion (1 cement: 4 clean coarse sand)</t>
    </r>
  </si>
  <si>
    <r>
      <t xml:space="preserve">25mpa </t>
    </r>
    <r>
      <rPr>
        <b/>
        <sz val="11"/>
        <rFont val="Cambria"/>
        <family val="1"/>
        <scheme val="major"/>
      </rPr>
      <t>30x20cm</t>
    </r>
    <r>
      <rPr>
        <sz val="11"/>
        <rFont val="Cambria"/>
        <family val="1"/>
        <scheme val="major"/>
      </rPr>
      <t xml:space="preserve"> RC Posts Each </t>
    </r>
    <r>
      <rPr>
        <b/>
        <sz val="11"/>
        <rFont val="Cambria"/>
        <family val="1"/>
        <scheme val="major"/>
      </rPr>
      <t>4m</t>
    </r>
    <r>
      <rPr>
        <sz val="11"/>
        <rFont val="Cambria"/>
        <family val="1"/>
        <scheme val="major"/>
      </rPr>
      <t xml:space="preserve"> apart and </t>
    </r>
    <r>
      <rPr>
        <b/>
        <sz val="11"/>
        <rFont val="Cambria"/>
        <family val="1"/>
        <scheme val="major"/>
      </rPr>
      <t>2.7Height</t>
    </r>
    <r>
      <rPr>
        <sz val="11"/>
        <rFont val="Cambria"/>
        <family val="1"/>
        <scheme val="major"/>
      </rPr>
      <t xml:space="preserve"> between them along the fencing wall</t>
    </r>
  </si>
  <si>
    <t>17/11/2019</t>
  </si>
</sst>
</file>

<file path=xl/styles.xml><?xml version="1.0" encoding="utf-8"?>
<styleSheet xmlns="http://schemas.openxmlformats.org/spreadsheetml/2006/main">
  <numFmts count="3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&quot;TL&quot;_-;\-* #,##0.00\ &quot;TL&quot;_-;_-* &quot;-&quot;??\ &quot;TL&quot;_-;_-@_-"/>
    <numFmt numFmtId="167" formatCode="[$$-409]#,##0"/>
    <numFmt numFmtId="168" formatCode="0.0"/>
    <numFmt numFmtId="169" formatCode="#,##0\ [$QAR]"/>
    <numFmt numFmtId="170" formatCode="_-* #,##0\ &quot;TL&quot;_-;\-* #,##0\ &quot;TL&quot;_-;_-* &quot;-&quot;??\ &quot;TL&quot;_-;_-@_-"/>
    <numFmt numFmtId="171" formatCode="[$$-409]#,##0.00"/>
    <numFmt numFmtId="172" formatCode="#,##0.00\ &quot; YTL &quot;"/>
    <numFmt numFmtId="173" formatCode="0.000"/>
    <numFmt numFmtId="174" formatCode="#,##0.000\ &quot; YTL &quot;"/>
    <numFmt numFmtId="175" formatCode="0.0000"/>
    <numFmt numFmtId="176" formatCode="#,##0.00\ [$$-C0C]_-"/>
    <numFmt numFmtId="177" formatCode="#,##0.00\ [$QAR]"/>
    <numFmt numFmtId="178" formatCode="#,##0.00\ &quot;TL&quot;"/>
    <numFmt numFmtId="179" formatCode="\%0"/>
    <numFmt numFmtId="180" formatCode="#,##0.00\ [$$-C0C]"/>
    <numFmt numFmtId="181" formatCode="#,##0\ [$DM-407]"/>
    <numFmt numFmtId="182" formatCode="_(&quot;OR&quot;\ * #,##0.00_);_(&quot;OR&quot;\ * \(#,##0.00\);_(&quot;OR&quot;\ * &quot;-&quot;??_);_(@_)"/>
    <numFmt numFmtId="183" formatCode="0.00_)"/>
    <numFmt numFmtId="184" formatCode="&quot;$&quot;#,##0;\-&quot;$&quot;#,##0"/>
    <numFmt numFmtId="185" formatCode="mm/dd/yy"/>
    <numFmt numFmtId="186" formatCode="#,##0.0"/>
    <numFmt numFmtId="187" formatCode="#,##0.000\ \x"/>
    <numFmt numFmtId="188" formatCode="\$#,##0\ ;\(\$#,##0\)"/>
    <numFmt numFmtId="189" formatCode="_-* #,##0_р_._-;\-* #,##0_р_._-;_-* &quot;-&quot;_р_._-;_-@_-"/>
    <numFmt numFmtId="190" formatCode="_-* #,##0.00_р_._-;\-* #,##0.00_р_._-;_-* &quot;-&quot;??_р_._-;_-@_-"/>
    <numFmt numFmtId="191" formatCode="_-* #,##0_T_L_-;\-* #,##0_T_L_-;_-* &quot;-&quot;_T_L_-;_-@_-"/>
    <numFmt numFmtId="192" formatCode="#,##0\ [$$-C0C]_-"/>
    <numFmt numFmtId="193" formatCode="0.0%"/>
    <numFmt numFmtId="194" formatCode="[$QAR]\ #,##0.00"/>
    <numFmt numFmtId="195" formatCode="#,##0.000"/>
    <numFmt numFmtId="196" formatCode="\+0.00"/>
    <numFmt numFmtId="197" formatCode="_-[$$-409]* #,##0.00_ ;_-[$$-409]* \-#,##0.00\ ;_-[$$-409]* &quot;-&quot;??_ ;_-@_ "/>
  </numFmts>
  <fonts count="143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  <charset val="16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</font>
    <font>
      <b/>
      <sz val="14"/>
      <name val="Times New Roman"/>
      <family val="1"/>
      <charset val="162"/>
    </font>
    <font>
      <b/>
      <sz val="10"/>
      <name val="Arial"/>
      <family val="2"/>
      <charset val="162"/>
    </font>
    <font>
      <b/>
      <sz val="12"/>
      <name val="Times New Roman"/>
      <family val="1"/>
      <charset val="162"/>
    </font>
    <font>
      <b/>
      <sz val="14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0"/>
      <name val="Helv"/>
      <charset val="204"/>
    </font>
    <font>
      <b/>
      <u/>
      <sz val="12"/>
      <name val="Arial"/>
      <family val="2"/>
    </font>
    <font>
      <b/>
      <sz val="10"/>
      <color indexed="12"/>
      <name val="Arial"/>
      <family val="2"/>
      <charset val="162"/>
    </font>
    <font>
      <b/>
      <sz val="10"/>
      <name val="Arial Tur"/>
      <charset val="162"/>
    </font>
    <font>
      <b/>
      <sz val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2"/>
      <color indexed="10"/>
      <name val="Times New Roman"/>
      <family val="1"/>
      <charset val="162"/>
    </font>
    <font>
      <sz val="12"/>
      <name val="Arial"/>
      <family val="2"/>
      <charset val="16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b/>
      <sz val="12"/>
      <name val="Times New Roman"/>
      <family val="1"/>
    </font>
    <font>
      <sz val="10"/>
      <name val="Arial Tur"/>
      <family val="2"/>
      <charset val="162"/>
    </font>
    <font>
      <sz val="8"/>
      <name val="Arial Tur"/>
      <family val="2"/>
      <charset val="162"/>
    </font>
    <font>
      <b/>
      <sz val="10"/>
      <color indexed="20"/>
      <name val="Arial"/>
      <family val="2"/>
      <charset val="162"/>
    </font>
    <font>
      <b/>
      <sz val="11"/>
      <name val="Times New Roman"/>
      <family val="1"/>
      <charset val="162"/>
    </font>
    <font>
      <b/>
      <sz val="12"/>
      <name val="Arial"/>
      <family val="2"/>
      <charset val="162"/>
    </font>
    <font>
      <b/>
      <sz val="12"/>
      <color indexed="9"/>
      <name val="Times New Roman"/>
      <family val="1"/>
      <charset val="162"/>
    </font>
    <font>
      <b/>
      <sz val="10"/>
      <color indexed="9"/>
      <name val="Arial"/>
      <family val="2"/>
      <charset val="162"/>
    </font>
    <font>
      <b/>
      <sz val="12"/>
      <color indexed="23"/>
      <name val="Times New Roman"/>
      <family val="1"/>
      <charset val="162"/>
    </font>
    <font>
      <sz val="10"/>
      <name val="Arial Tur"/>
      <charset val="162"/>
    </font>
    <font>
      <b/>
      <sz val="12"/>
      <name val="Arial Tur"/>
      <family val="2"/>
      <charset val="162"/>
    </font>
    <font>
      <sz val="10"/>
      <color indexed="8"/>
      <name val="Arial Tur"/>
      <family val="2"/>
      <charset val="162"/>
    </font>
    <font>
      <b/>
      <sz val="10"/>
      <name val="Arial Tur"/>
      <family val="2"/>
      <charset val="162"/>
    </font>
    <font>
      <sz val="8"/>
      <name val="Arial"/>
      <family val="2"/>
      <charset val="162"/>
    </font>
    <font>
      <sz val="8"/>
      <name val="Arial"/>
      <family val="2"/>
    </font>
    <font>
      <b/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MS Serif"/>
      <family val="1"/>
      <charset val="178"/>
    </font>
    <font>
      <sz val="10"/>
      <name val="Courier"/>
      <family val="3"/>
      <charset val="178"/>
    </font>
    <font>
      <sz val="10"/>
      <color indexed="16"/>
      <name val="MS Serif"/>
      <family val="1"/>
      <charset val="178"/>
    </font>
    <font>
      <sz val="8"/>
      <name val="Arial"/>
      <family val="2"/>
      <charset val="178"/>
    </font>
    <font>
      <b/>
      <sz val="12"/>
      <name val="Arial"/>
      <family val="2"/>
      <charset val="178"/>
    </font>
    <font>
      <sz val="10"/>
      <name val="Arial"/>
      <family val="2"/>
    </font>
    <font>
      <b/>
      <i/>
      <sz val="16"/>
      <name val="Helv"/>
      <charset val="178"/>
    </font>
    <font>
      <sz val="10"/>
      <name val="Tms Rmn"/>
      <charset val="178"/>
    </font>
    <font>
      <sz val="10"/>
      <name val="MS Sans Serif"/>
      <family val="2"/>
      <charset val="178"/>
    </font>
    <font>
      <sz val="8"/>
      <name val="Helv"/>
      <charset val="178"/>
    </font>
    <font>
      <b/>
      <sz val="8"/>
      <color indexed="8"/>
      <name val="Helv"/>
      <charset val="178"/>
    </font>
    <font>
      <b/>
      <sz val="11"/>
      <name val="Arial"/>
      <family val="2"/>
    </font>
    <font>
      <b/>
      <i/>
      <u/>
      <sz val="12"/>
      <name val="Arial"/>
      <family val="2"/>
    </font>
    <font>
      <b/>
      <sz val="9"/>
      <name val="Arial"/>
      <family val="2"/>
      <charset val="16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ahoma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0"/>
      <color indexed="24"/>
      <name val="Arial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10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sz val="11"/>
      <color indexed="19"/>
      <name val="Calibri"/>
      <family val="2"/>
      <charset val="162"/>
    </font>
    <font>
      <sz val="10"/>
      <color indexed="10"/>
      <name val="Arial"/>
      <family val="2"/>
      <charset val="162"/>
    </font>
    <font>
      <b/>
      <sz val="14"/>
      <color indexed="10"/>
      <name val="Arial"/>
      <family val="2"/>
      <charset val="162"/>
    </font>
    <font>
      <b/>
      <sz val="9"/>
      <color indexed="10"/>
      <name val="Arial"/>
      <family val="2"/>
      <charset val="162"/>
    </font>
    <font>
      <sz val="9"/>
      <name val="Arial"/>
      <family val="2"/>
      <charset val="162"/>
    </font>
    <font>
      <sz val="7"/>
      <name val="Arial"/>
      <family val="2"/>
      <charset val="162"/>
    </font>
    <font>
      <i/>
      <sz val="8"/>
      <name val="Tahoma"/>
      <family val="2"/>
      <charset val="162"/>
    </font>
    <font>
      <b/>
      <u/>
      <sz val="9"/>
      <name val="Arial"/>
      <family val="2"/>
      <charset val="162"/>
    </font>
    <font>
      <sz val="8"/>
      <name val="Tahoma"/>
      <family val="2"/>
    </font>
    <font>
      <b/>
      <sz val="8"/>
      <name val="Arial"/>
      <family val="2"/>
    </font>
    <font>
      <i/>
      <sz val="8"/>
      <name val="Arial"/>
      <family val="2"/>
      <charset val="162"/>
    </font>
    <font>
      <b/>
      <sz val="8"/>
      <name val="Tahoma"/>
      <family val="2"/>
    </font>
    <font>
      <b/>
      <i/>
      <sz val="8"/>
      <name val="Arial"/>
      <family val="2"/>
      <charset val="162"/>
    </font>
    <font>
      <sz val="9"/>
      <name val="Tahoma"/>
      <family val="2"/>
      <charset val="162"/>
    </font>
    <font>
      <b/>
      <sz val="9"/>
      <name val="Tahoma"/>
      <family val="2"/>
      <charset val="162"/>
    </font>
    <font>
      <sz val="10"/>
      <name val="Tahoma"/>
      <family val="2"/>
      <charset val="162"/>
    </font>
    <font>
      <sz val="10"/>
      <color indexed="10"/>
      <name val="Tahoma"/>
      <family val="2"/>
      <charset val="162"/>
    </font>
    <font>
      <sz val="10"/>
      <name val="Tahoma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11"/>
      <name val="Tahoma"/>
      <family val="2"/>
      <charset val="162"/>
    </font>
    <font>
      <sz val="11"/>
      <name val="Tahoma"/>
      <family val="2"/>
    </font>
    <font>
      <sz val="11"/>
      <name val="Tahoma"/>
      <family val="2"/>
      <charset val="162"/>
    </font>
    <font>
      <b/>
      <sz val="11"/>
      <color indexed="12"/>
      <name val="Symbol"/>
      <family val="1"/>
      <charset val="2"/>
    </font>
    <font>
      <sz val="9"/>
      <name val="Times New Roman"/>
      <family val="1"/>
      <charset val="162"/>
    </font>
    <font>
      <b/>
      <sz val="14"/>
      <name val="Tahoma"/>
      <family val="2"/>
      <charset val="162"/>
    </font>
    <font>
      <b/>
      <sz val="14"/>
      <name val="Tahoma"/>
      <family val="2"/>
    </font>
    <font>
      <sz val="14"/>
      <name val="Arial"/>
      <family val="2"/>
    </font>
    <font>
      <b/>
      <sz val="14"/>
      <name val="Palatino Linotype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Tahoma"/>
      <family val="2"/>
    </font>
    <font>
      <u/>
      <sz val="9"/>
      <color indexed="12"/>
      <name val="Arial"/>
      <family val="2"/>
      <charset val="162"/>
    </font>
    <font>
      <b/>
      <sz val="9"/>
      <name val="Arial"/>
      <family val="2"/>
    </font>
    <font>
      <sz val="12"/>
      <color theme="1"/>
      <name val="Arial Narrow"/>
      <family val="2"/>
    </font>
    <font>
      <sz val="10"/>
      <name val="Arial"/>
    </font>
    <font>
      <sz val="12.5"/>
      <name val="Cambria"/>
      <family val="1"/>
      <scheme val="major"/>
    </font>
    <font>
      <sz val="11"/>
      <name val="Cambria"/>
      <family val="1"/>
      <scheme val="major"/>
    </font>
    <font>
      <b/>
      <sz val="16"/>
      <name val="Cambria"/>
      <family val="1"/>
      <scheme val="major"/>
    </font>
    <font>
      <sz val="14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name val="Cambria"/>
      <family val="1"/>
      <scheme val="major"/>
    </font>
    <font>
      <b/>
      <sz val="12.5"/>
      <name val="Cambria"/>
      <family val="1"/>
      <scheme val="major"/>
    </font>
    <font>
      <b/>
      <u/>
      <sz val="11"/>
      <name val="Cambria"/>
      <family val="1"/>
      <scheme val="major"/>
    </font>
    <font>
      <vertAlign val="superscript"/>
      <sz val="11"/>
      <name val="Cambria"/>
      <family val="1"/>
      <scheme val="major"/>
    </font>
    <font>
      <sz val="12"/>
      <name val="Cambria"/>
      <family val="1"/>
      <scheme val="major"/>
    </font>
    <font>
      <b/>
      <sz val="14"/>
      <color rgb="FF000000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</fonts>
  <fills count="4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3">
    <border>
      <left/>
      <right/>
      <top/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36">
    <xf numFmtId="0" fontId="0" fillId="0" borderId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4" borderId="0" applyNumberFormat="0" applyBorder="0" applyAlignment="0" applyProtection="0"/>
    <xf numFmtId="0" fontId="67" fillId="6" borderId="0" applyNumberFormat="0" applyBorder="0" applyAlignment="0" applyProtection="0"/>
    <xf numFmtId="0" fontId="67" fillId="3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6" borderId="0" applyNumberFormat="0" applyBorder="0" applyAlignment="0" applyProtection="0"/>
    <xf numFmtId="0" fontId="67" fillId="4" borderId="0" applyNumberFormat="0" applyBorder="0" applyAlignment="0" applyProtection="0"/>
    <xf numFmtId="0" fontId="68" fillId="6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8" borderId="0" applyNumberFormat="0" applyBorder="0" applyAlignment="0" applyProtection="0"/>
    <xf numFmtId="0" fontId="68" fillId="6" borderId="0" applyNumberFormat="0" applyBorder="0" applyAlignment="0" applyProtection="0"/>
    <xf numFmtId="0" fontId="68" fillId="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>
      <alignment horizontal="center" wrapText="1"/>
      <protection locked="0"/>
    </xf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190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2" fontId="44" fillId="0" borderId="0" applyFill="0" applyBorder="0" applyAlignment="0"/>
    <xf numFmtId="0" fontId="75" fillId="15" borderId="7" applyNumberFormat="0" applyAlignment="0" applyProtection="0"/>
    <xf numFmtId="3" fontId="76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66" fontId="34" fillId="0" borderId="0" applyFont="0" applyFill="0" applyBorder="0" applyAlignment="0" applyProtection="0"/>
    <xf numFmtId="18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51" fillId="0" borderId="0" applyNumberFormat="0" applyAlignment="0">
      <alignment horizontal="left"/>
    </xf>
    <xf numFmtId="2" fontId="76" fillId="0" borderId="0" applyFont="0" applyFill="0" applyBorder="0" applyAlignment="0" applyProtection="0"/>
    <xf numFmtId="0" fontId="77" fillId="7" borderId="5" applyNumberFormat="0" applyAlignment="0" applyProtection="0"/>
    <xf numFmtId="38" fontId="52" fillId="16" borderId="0" applyNumberFormat="0" applyBorder="0" applyAlignment="0" applyProtection="0"/>
    <xf numFmtId="0" fontId="53" fillId="0" borderId="8" applyNumberFormat="0" applyAlignment="0" applyProtection="0">
      <alignment horizontal="left" vertical="center"/>
    </xf>
    <xf numFmtId="0" fontId="53" fillId="0" borderId="9">
      <alignment horizontal="left" vertical="center"/>
    </xf>
    <xf numFmtId="0" fontId="78" fillId="15" borderId="5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0" fontId="52" fillId="17" borderId="10" applyNumberFormat="0" applyBorder="0" applyAlignment="0" applyProtection="0"/>
    <xf numFmtId="0" fontId="54" fillId="18" borderId="0"/>
    <xf numFmtId="0" fontId="79" fillId="14" borderId="6" applyNumberFormat="0" applyAlignment="0" applyProtection="0"/>
    <xf numFmtId="0" fontId="80" fillId="6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81" fillId="11" borderId="0" applyNumberFormat="0" applyBorder="0" applyAlignment="0" applyProtection="0"/>
    <xf numFmtId="0" fontId="54" fillId="19" borderId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3" fontId="55" fillId="0" borderId="0"/>
    <xf numFmtId="0" fontId="8" fillId="0" borderId="0"/>
    <xf numFmtId="168" fontId="8" fillId="0" borderId="0"/>
    <xf numFmtId="176" fontId="8" fillId="0" borderId="0"/>
    <xf numFmtId="176" fontId="8" fillId="0" borderId="0"/>
    <xf numFmtId="176" fontId="8" fillId="0" borderId="0"/>
    <xf numFmtId="168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14" fontId="45" fillId="0" borderId="0"/>
    <xf numFmtId="0" fontId="82" fillId="0" borderId="0"/>
    <xf numFmtId="0" fontId="8" fillId="0" borderId="0" applyNumberFormat="0" applyFont="0" applyFill="0" applyBorder="0" applyAlignment="0" applyProtection="0">
      <alignment vertical="top"/>
    </xf>
    <xf numFmtId="14" fontId="45" fillId="0" borderId="0"/>
    <xf numFmtId="0" fontId="116" fillId="0" borderId="0"/>
    <xf numFmtId="0" fontId="65" fillId="0" borderId="0"/>
    <xf numFmtId="0" fontId="102" fillId="0" borderId="0"/>
    <xf numFmtId="0" fontId="1" fillId="0" borderId="0"/>
    <xf numFmtId="0" fontId="97" fillId="0" borderId="0"/>
    <xf numFmtId="176" fontId="15" fillId="0" borderId="0"/>
    <xf numFmtId="176" fontId="15" fillId="0" borderId="0"/>
    <xf numFmtId="176" fontId="15" fillId="0" borderId="0"/>
    <xf numFmtId="0" fontId="8" fillId="0" borderId="0"/>
    <xf numFmtId="0" fontId="8" fillId="0" borderId="0"/>
    <xf numFmtId="0" fontId="8" fillId="0" borderId="0"/>
    <xf numFmtId="0" fontId="44" fillId="0" borderId="0"/>
    <xf numFmtId="0" fontId="44" fillId="0" borderId="0"/>
    <xf numFmtId="0" fontId="1" fillId="0" borderId="0"/>
    <xf numFmtId="176" fontId="9" fillId="0" borderId="0"/>
    <xf numFmtId="176" fontId="9" fillId="0" borderId="0"/>
    <xf numFmtId="0" fontId="8" fillId="0" borderId="0"/>
    <xf numFmtId="0" fontId="42" fillId="0" borderId="0"/>
    <xf numFmtId="0" fontId="8" fillId="0" borderId="0"/>
    <xf numFmtId="0" fontId="34" fillId="0" borderId="0"/>
    <xf numFmtId="0" fontId="82" fillId="0" borderId="0"/>
    <xf numFmtId="0" fontId="8" fillId="0" borderId="0"/>
    <xf numFmtId="0" fontId="83" fillId="4" borderId="11" applyNumberFormat="0" applyFont="0" applyAlignment="0" applyProtection="0"/>
    <xf numFmtId="0" fontId="84" fillId="7" borderId="0" applyNumberFormat="0" applyBorder="0" applyAlignment="0" applyProtection="0"/>
    <xf numFmtId="165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4" fontId="48" fillId="0" borderId="0">
      <alignment horizontal="center" wrapText="1"/>
      <protection locked="0"/>
    </xf>
    <xf numFmtId="10" fontId="54" fillId="0" borderId="0" applyFont="0" applyFill="0" applyBorder="0" applyAlignment="0" applyProtection="0"/>
    <xf numFmtId="184" fontId="56" fillId="0" borderId="0"/>
    <xf numFmtId="0" fontId="57" fillId="0" borderId="0" applyNumberFormat="0" applyFont="0" applyFill="0" applyBorder="0" applyAlignment="0" applyProtection="0">
      <alignment horizontal="left"/>
    </xf>
    <xf numFmtId="185" fontId="58" fillId="0" borderId="0" applyNumberFormat="0" applyFill="0" applyBorder="0" applyAlignment="0" applyProtection="0">
      <alignment horizontal="left"/>
    </xf>
    <xf numFmtId="0" fontId="57" fillId="0" borderId="0"/>
    <xf numFmtId="0" fontId="15" fillId="0" borderId="0"/>
    <xf numFmtId="0" fontId="15" fillId="0" borderId="0"/>
    <xf numFmtId="40" fontId="59" fillId="0" borderId="0" applyBorder="0">
      <alignment horizontal="right"/>
    </xf>
    <xf numFmtId="0" fontId="40" fillId="0" borderId="12" applyNumberFormat="0" applyFill="0" applyAlignment="0" applyProtection="0"/>
    <xf numFmtId="0" fontId="71" fillId="0" borderId="0" applyNumberFormat="0" applyFill="0" applyBorder="0" applyAlignment="0" applyProtection="0"/>
    <xf numFmtId="191" fontId="34" fillId="0" borderId="0" applyFont="0" applyFill="0" applyBorder="0" applyAlignment="0" applyProtection="0"/>
    <xf numFmtId="49" fontId="4" fillId="0" borderId="10" applyFill="0" applyProtection="0">
      <alignment horizontal="center" vertical="center"/>
    </xf>
    <xf numFmtId="0" fontId="68" fillId="20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2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17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44" fontId="128" fillId="0" borderId="0" applyFont="0" applyFill="0" applyBorder="0" applyAlignment="0" applyProtection="0"/>
  </cellStyleXfs>
  <cellXfs count="1496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11" fillId="0" borderId="19" xfId="0" applyFont="1" applyBorder="1"/>
    <xf numFmtId="0" fontId="0" fillId="0" borderId="13" xfId="0" applyBorder="1" applyAlignment="1">
      <alignment horizontal="center"/>
    </xf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4" fillId="0" borderId="0" xfId="0" applyFont="1"/>
    <xf numFmtId="0" fontId="11" fillId="22" borderId="25" xfId="0" applyFont="1" applyFill="1" applyBorder="1"/>
    <xf numFmtId="0" fontId="11" fillId="22" borderId="26" xfId="0" applyFont="1" applyFill="1" applyBorder="1"/>
    <xf numFmtId="0" fontId="11" fillId="22" borderId="27" xfId="0" applyFont="1" applyFill="1" applyBorder="1"/>
    <xf numFmtId="0" fontId="11" fillId="23" borderId="0" xfId="0" applyFont="1" applyFill="1" applyBorder="1"/>
    <xf numFmtId="0" fontId="24" fillId="24" borderId="19" xfId="0" applyFont="1" applyFill="1" applyBorder="1"/>
    <xf numFmtId="0" fontId="0" fillId="24" borderId="28" xfId="0" applyFill="1" applyBorder="1"/>
    <xf numFmtId="0" fontId="0" fillId="24" borderId="29" xfId="0" applyFill="1" applyBorder="1"/>
    <xf numFmtId="0" fontId="24" fillId="24" borderId="29" xfId="0" applyFont="1" applyFill="1" applyBorder="1"/>
    <xf numFmtId="0" fontId="11" fillId="24" borderId="19" xfId="0" applyFont="1" applyFill="1" applyBorder="1"/>
    <xf numFmtId="0" fontId="0" fillId="0" borderId="30" xfId="0" applyBorder="1"/>
    <xf numFmtId="0" fontId="11" fillId="25" borderId="27" xfId="0" applyFont="1" applyFill="1" applyBorder="1" applyAlignment="1"/>
    <xf numFmtId="0" fontId="11" fillId="25" borderId="31" xfId="0" applyFont="1" applyFill="1" applyBorder="1" applyAlignment="1">
      <alignment horizontal="center"/>
    </xf>
    <xf numFmtId="0" fontId="11" fillId="25" borderId="23" xfId="0" applyFont="1" applyFill="1" applyBorder="1" applyAlignment="1">
      <alignment horizontal="center"/>
    </xf>
    <xf numFmtId="0" fontId="11" fillId="25" borderId="24" xfId="0" applyFont="1" applyFill="1" applyBorder="1" applyAlignment="1">
      <alignment horizontal="center"/>
    </xf>
    <xf numFmtId="0" fontId="11" fillId="25" borderId="19" xfId="0" applyFont="1" applyFill="1" applyBorder="1" applyAlignment="1">
      <alignment horizontal="left"/>
    </xf>
    <xf numFmtId="0" fontId="11" fillId="25" borderId="32" xfId="0" applyFont="1" applyFill="1" applyBorder="1" applyAlignment="1">
      <alignment horizontal="center"/>
    </xf>
    <xf numFmtId="0" fontId="11" fillId="25" borderId="33" xfId="0" applyFont="1" applyFill="1" applyBorder="1" applyAlignment="1">
      <alignment horizontal="center"/>
    </xf>
    <xf numFmtId="0" fontId="11" fillId="25" borderId="34" xfId="0" applyFont="1" applyFill="1" applyBorder="1"/>
    <xf numFmtId="0" fontId="11" fillId="0" borderId="0" xfId="0" applyFont="1" applyFill="1" applyBorder="1"/>
    <xf numFmtId="0" fontId="11" fillId="25" borderId="35" xfId="0" applyFont="1" applyFill="1" applyBorder="1" applyAlignment="1">
      <alignment horizontal="left"/>
    </xf>
    <xf numFmtId="0" fontId="11" fillId="25" borderId="25" xfId="0" applyFont="1" applyFill="1" applyBorder="1" applyAlignment="1">
      <alignment horizontal="left"/>
    </xf>
    <xf numFmtId="0" fontId="11" fillId="25" borderId="36" xfId="0" applyFont="1" applyFill="1" applyBorder="1"/>
    <xf numFmtId="0" fontId="24" fillId="0" borderId="31" xfId="0" applyFont="1" applyBorder="1"/>
    <xf numFmtId="168" fontId="24" fillId="0" borderId="24" xfId="0" applyNumberFormat="1" applyFont="1" applyBorder="1"/>
    <xf numFmtId="168" fontId="11" fillId="0" borderId="14" xfId="0" applyNumberFormat="1" applyFont="1" applyBorder="1"/>
    <xf numFmtId="0" fontId="24" fillId="0" borderId="13" xfId="0" applyFont="1" applyBorder="1"/>
    <xf numFmtId="168" fontId="0" fillId="0" borderId="14" xfId="0" applyNumberFormat="1" applyBorder="1"/>
    <xf numFmtId="168" fontId="0" fillId="0" borderId="0" xfId="0" applyNumberFormat="1" applyBorder="1"/>
    <xf numFmtId="2" fontId="0" fillId="0" borderId="10" xfId="0" applyNumberFormat="1" applyBorder="1"/>
    <xf numFmtId="168" fontId="0" fillId="0" borderId="10" xfId="0" applyNumberFormat="1" applyBorder="1"/>
    <xf numFmtId="0" fontId="24" fillId="0" borderId="37" xfId="0" applyFont="1" applyBorder="1"/>
    <xf numFmtId="168" fontId="0" fillId="0" borderId="38" xfId="0" applyNumberFormat="1" applyBorder="1"/>
    <xf numFmtId="0" fontId="24" fillId="0" borderId="15" xfId="0" applyFont="1" applyBorder="1"/>
    <xf numFmtId="168" fontId="11" fillId="0" borderId="39" xfId="0" applyNumberFormat="1" applyFont="1" applyBorder="1"/>
    <xf numFmtId="168" fontId="24" fillId="0" borderId="13" xfId="0" applyNumberFormat="1" applyFont="1" applyBorder="1"/>
    <xf numFmtId="168" fontId="24" fillId="0" borderId="40" xfId="0" applyNumberFormat="1" applyFont="1" applyBorder="1"/>
    <xf numFmtId="168" fontId="0" fillId="0" borderId="41" xfId="0" applyNumberFormat="1" applyBorder="1"/>
    <xf numFmtId="168" fontId="0" fillId="0" borderId="16" xfId="0" applyNumberFormat="1" applyBorder="1"/>
    <xf numFmtId="168" fontId="0" fillId="0" borderId="17" xfId="0" applyNumberFormat="1" applyBorder="1"/>
    <xf numFmtId="168" fontId="24" fillId="0" borderId="15" xfId="0" applyNumberFormat="1" applyFont="1" applyBorder="1"/>
    <xf numFmtId="0" fontId="24" fillId="0" borderId="21" xfId="0" applyFont="1" applyBorder="1"/>
    <xf numFmtId="168" fontId="24" fillId="0" borderId="42" xfId="0" applyNumberFormat="1" applyFont="1" applyBorder="1"/>
    <xf numFmtId="0" fontId="11" fillId="0" borderId="0" xfId="0" applyFont="1"/>
    <xf numFmtId="168" fontId="24" fillId="0" borderId="0" xfId="0" applyNumberFormat="1" applyFont="1" applyBorder="1"/>
    <xf numFmtId="0" fontId="24" fillId="0" borderId="43" xfId="0" applyFont="1" applyBorder="1"/>
    <xf numFmtId="168" fontId="0" fillId="0" borderId="44" xfId="0" applyNumberFormat="1" applyBorder="1"/>
    <xf numFmtId="0" fontId="11" fillId="25" borderId="25" xfId="0" applyFont="1" applyFill="1" applyBorder="1"/>
    <xf numFmtId="168" fontId="11" fillId="0" borderId="29" xfId="0" applyNumberFormat="1" applyFont="1" applyBorder="1"/>
    <xf numFmtId="0" fontId="11" fillId="25" borderId="27" xfId="0" applyFont="1" applyFill="1" applyBorder="1"/>
    <xf numFmtId="0" fontId="11" fillId="0" borderId="8" xfId="0" applyFont="1" applyBorder="1"/>
    <xf numFmtId="0" fontId="24" fillId="0" borderId="30" xfId="0" applyFont="1" applyBorder="1"/>
    <xf numFmtId="0" fontId="24" fillId="0" borderId="15" xfId="0" applyFont="1" applyFill="1" applyBorder="1"/>
    <xf numFmtId="0" fontId="11" fillId="25" borderId="19" xfId="0" applyFont="1" applyFill="1" applyBorder="1" applyAlignment="1">
      <alignment horizontal="center"/>
    </xf>
    <xf numFmtId="0" fontId="11" fillId="25" borderId="28" xfId="0" applyFont="1" applyFill="1" applyBorder="1" applyAlignment="1">
      <alignment horizontal="center"/>
    </xf>
    <xf numFmtId="0" fontId="11" fillId="25" borderId="29" xfId="0" applyFont="1" applyFill="1" applyBorder="1" applyAlignment="1">
      <alignment horizontal="center"/>
    </xf>
    <xf numFmtId="0" fontId="11" fillId="0" borderId="28" xfId="0" applyFont="1" applyBorder="1"/>
    <xf numFmtId="0" fontId="24" fillId="0" borderId="31" xfId="0" applyFont="1" applyFill="1" applyBorder="1"/>
    <xf numFmtId="0" fontId="24" fillId="0" borderId="13" xfId="0" applyFont="1" applyFill="1" applyBorder="1"/>
    <xf numFmtId="0" fontId="24" fillId="0" borderId="21" xfId="0" applyFont="1" applyFill="1" applyBorder="1"/>
    <xf numFmtId="0" fontId="8" fillId="0" borderId="0" xfId="0" applyFont="1"/>
    <xf numFmtId="0" fontId="42" fillId="0" borderId="0" xfId="92"/>
    <xf numFmtId="0" fontId="26" fillId="0" borderId="76" xfId="92" applyFont="1" applyFill="1" applyBorder="1" applyAlignment="1">
      <alignment horizontal="center" vertical="center"/>
    </xf>
    <xf numFmtId="0" fontId="26" fillId="0" borderId="10" xfId="92" applyFont="1" applyFill="1" applyBorder="1" applyAlignment="1">
      <alignment vertical="center"/>
    </xf>
    <xf numFmtId="0" fontId="26" fillId="0" borderId="64" xfId="92" applyFont="1" applyFill="1" applyBorder="1" applyAlignment="1">
      <alignment horizontal="center" vertical="center"/>
    </xf>
    <xf numFmtId="0" fontId="26" fillId="0" borderId="10" xfId="92" applyFont="1" applyFill="1" applyBorder="1" applyAlignment="1">
      <alignment horizontal="center" vertical="center"/>
    </xf>
    <xf numFmtId="177" fontId="27" fillId="0" borderId="77" xfId="94" applyNumberFormat="1" applyFont="1" applyFill="1" applyBorder="1"/>
    <xf numFmtId="172" fontId="27" fillId="0" borderId="77" xfId="94" applyNumberFormat="1" applyFont="1" applyFill="1" applyBorder="1"/>
    <xf numFmtId="0" fontId="36" fillId="0" borderId="10" xfId="92" applyFont="1" applyFill="1" applyBorder="1" applyAlignment="1">
      <alignment vertical="center"/>
    </xf>
    <xf numFmtId="0" fontId="26" fillId="0" borderId="78" xfId="92" applyFont="1" applyFill="1" applyBorder="1" applyAlignment="1">
      <alignment horizontal="center" vertical="center"/>
    </xf>
    <xf numFmtId="0" fontId="36" fillId="0" borderId="79" xfId="92" applyFont="1" applyFill="1" applyBorder="1" applyAlignment="1">
      <alignment vertical="center"/>
    </xf>
    <xf numFmtId="0" fontId="26" fillId="0" borderId="79" xfId="92" applyFont="1" applyFill="1" applyBorder="1" applyAlignment="1">
      <alignment horizontal="center" vertical="center"/>
    </xf>
    <xf numFmtId="172" fontId="27" fillId="0" borderId="80" xfId="94" applyNumberFormat="1" applyFont="1" applyFill="1" applyBorder="1"/>
    <xf numFmtId="0" fontId="37" fillId="0" borderId="68" xfId="92" applyFont="1" applyBorder="1" applyAlignment="1"/>
    <xf numFmtId="14" fontId="37" fillId="0" borderId="81" xfId="92" applyNumberFormat="1" applyFont="1" applyBorder="1" applyAlignment="1"/>
    <xf numFmtId="49" fontId="37" fillId="16" borderId="82" xfId="92" applyNumberFormat="1" applyFont="1" applyFill="1" applyBorder="1" applyAlignment="1">
      <alignment horizontal="center" vertical="center"/>
    </xf>
    <xf numFmtId="49" fontId="37" fillId="16" borderId="83" xfId="92" applyNumberFormat="1" applyFont="1" applyFill="1" applyBorder="1" applyAlignment="1">
      <alignment horizontal="center" vertical="center"/>
    </xf>
    <xf numFmtId="1" fontId="37" fillId="16" borderId="84" xfId="92" applyNumberFormat="1" applyFont="1" applyFill="1" applyBorder="1" applyAlignment="1">
      <alignment horizontal="center" vertical="center"/>
    </xf>
    <xf numFmtId="0" fontId="37" fillId="27" borderId="85" xfId="92" applyFont="1" applyFill="1" applyBorder="1" applyAlignment="1">
      <alignment vertical="center"/>
    </xf>
    <xf numFmtId="0" fontId="37" fillId="27" borderId="86" xfId="92" applyFont="1" applyFill="1" applyBorder="1" applyAlignment="1">
      <alignment vertical="center"/>
    </xf>
    <xf numFmtId="0" fontId="37" fillId="27" borderId="87" xfId="92" applyFont="1" applyFill="1" applyBorder="1" applyAlignment="1">
      <alignment vertical="center"/>
    </xf>
    <xf numFmtId="0" fontId="26" fillId="27" borderId="88" xfId="92" applyFont="1" applyFill="1" applyBorder="1" applyAlignment="1">
      <alignment horizontal="center" vertical="center"/>
    </xf>
    <xf numFmtId="3" fontId="26" fillId="27" borderId="82" xfId="92" applyNumberFormat="1" applyFont="1" applyFill="1" applyBorder="1" applyAlignment="1">
      <alignment vertical="center"/>
    </xf>
    <xf numFmtId="179" fontId="26" fillId="27" borderId="82" xfId="92" applyNumberFormat="1" applyFont="1" applyFill="1" applyBorder="1" applyAlignment="1">
      <alignment horizontal="center" vertical="center"/>
    </xf>
    <xf numFmtId="3" fontId="26" fillId="27" borderId="89" xfId="92" applyNumberFormat="1" applyFont="1" applyFill="1" applyBorder="1" applyAlignment="1">
      <alignment vertical="center"/>
    </xf>
    <xf numFmtId="1" fontId="26" fillId="16" borderId="84" xfId="92" applyNumberFormat="1" applyFont="1" applyFill="1" applyBorder="1" applyAlignment="1">
      <alignment horizontal="center" vertical="center"/>
    </xf>
    <xf numFmtId="0" fontId="37" fillId="0" borderId="14" xfId="92" applyFont="1" applyFill="1" applyBorder="1" applyAlignment="1">
      <alignment vertical="center"/>
    </xf>
    <xf numFmtId="14" fontId="26" fillId="0" borderId="13" xfId="92" applyNumberFormat="1" applyFont="1" applyFill="1" applyBorder="1" applyAlignment="1">
      <alignment vertical="center"/>
    </xf>
    <xf numFmtId="3" fontId="26" fillId="0" borderId="10" xfId="92" applyNumberFormat="1" applyFont="1" applyFill="1" applyBorder="1" applyAlignment="1">
      <alignment vertical="center"/>
    </xf>
    <xf numFmtId="179" fontId="26" fillId="0" borderId="10" xfId="92" applyNumberFormat="1" applyFont="1" applyFill="1" applyBorder="1" applyAlignment="1">
      <alignment horizontal="center" vertical="center"/>
    </xf>
    <xf numFmtId="0" fontId="26" fillId="0" borderId="14" xfId="92" applyFont="1" applyFill="1" applyBorder="1" applyAlignment="1">
      <alignment vertical="center"/>
    </xf>
    <xf numFmtId="0" fontId="37" fillId="27" borderId="10" xfId="92" applyFont="1" applyFill="1" applyBorder="1" applyAlignment="1">
      <alignment vertical="center"/>
    </xf>
    <xf numFmtId="0" fontId="37" fillId="27" borderId="14" xfId="92" applyFont="1" applyFill="1" applyBorder="1" applyAlignment="1">
      <alignment vertical="center"/>
    </xf>
    <xf numFmtId="0" fontId="37" fillId="27" borderId="13" xfId="92" applyFont="1" applyFill="1" applyBorder="1" applyAlignment="1">
      <alignment vertical="center"/>
    </xf>
    <xf numFmtId="0" fontId="26" fillId="27" borderId="64" xfId="92" applyFont="1" applyFill="1" applyBorder="1" applyAlignment="1">
      <alignment horizontal="center" vertical="center"/>
    </xf>
    <xf numFmtId="3" fontId="26" fillId="27" borderId="10" xfId="92" applyNumberFormat="1" applyFont="1" applyFill="1" applyBorder="1" applyAlignment="1">
      <alignment vertical="center"/>
    </xf>
    <xf numFmtId="179" fontId="26" fillId="27" borderId="10" xfId="92" applyNumberFormat="1" applyFont="1" applyFill="1" applyBorder="1" applyAlignment="1">
      <alignment horizontal="center" vertical="center"/>
    </xf>
    <xf numFmtId="3" fontId="26" fillId="27" borderId="77" xfId="92" applyNumberFormat="1" applyFont="1" applyFill="1" applyBorder="1" applyAlignment="1">
      <alignment vertical="center"/>
    </xf>
    <xf numFmtId="1" fontId="37" fillId="0" borderId="84" xfId="92" applyNumberFormat="1" applyFont="1" applyFill="1" applyBorder="1" applyAlignment="1">
      <alignment horizontal="center" vertical="center"/>
    </xf>
    <xf numFmtId="0" fontId="37" fillId="0" borderId="10" xfId="92" applyFont="1" applyFill="1" applyBorder="1" applyAlignment="1">
      <alignment vertical="center"/>
    </xf>
    <xf numFmtId="0" fontId="37" fillId="0" borderId="13" xfId="92" applyFont="1" applyFill="1" applyBorder="1" applyAlignment="1">
      <alignment vertical="center"/>
    </xf>
    <xf numFmtId="3" fontId="26" fillId="0" borderId="77" xfId="92" applyNumberFormat="1" applyFont="1" applyFill="1" applyBorder="1" applyAlignment="1">
      <alignment vertical="center"/>
    </xf>
    <xf numFmtId="0" fontId="26" fillId="0" borderId="13" xfId="92" applyFont="1" applyFill="1" applyBorder="1" applyAlignment="1">
      <alignment vertical="center"/>
    </xf>
    <xf numFmtId="180" fontId="26" fillId="0" borderId="10" xfId="92" applyNumberFormat="1" applyFont="1" applyFill="1" applyBorder="1" applyAlignment="1">
      <alignment vertical="center"/>
    </xf>
    <xf numFmtId="14" fontId="37" fillId="0" borderId="13" xfId="92" applyNumberFormat="1" applyFont="1" applyFill="1" applyBorder="1" applyAlignment="1">
      <alignment vertical="center"/>
    </xf>
    <xf numFmtId="1" fontId="26" fillId="16" borderId="76" xfId="92" applyNumberFormat="1" applyFont="1" applyFill="1" applyBorder="1" applyAlignment="1">
      <alignment horizontal="center" vertical="center"/>
    </xf>
    <xf numFmtId="181" fontId="26" fillId="0" borderId="10" xfId="92" applyNumberFormat="1" applyFont="1" applyFill="1" applyBorder="1" applyAlignment="1">
      <alignment vertical="center"/>
    </xf>
    <xf numFmtId="174" fontId="27" fillId="0" borderId="77" xfId="94" applyNumberFormat="1" applyFont="1" applyFill="1" applyBorder="1"/>
    <xf numFmtId="1" fontId="26" fillId="16" borderId="90" xfId="92" applyNumberFormat="1" applyFont="1" applyFill="1" applyBorder="1" applyAlignment="1">
      <alignment horizontal="center" vertical="center"/>
    </xf>
    <xf numFmtId="0" fontId="37" fillId="0" borderId="53" xfId="92" applyFont="1" applyFill="1" applyBorder="1" applyAlignment="1">
      <alignment vertical="center"/>
    </xf>
    <xf numFmtId="14" fontId="26" fillId="0" borderId="91" xfId="92" applyNumberFormat="1" applyFont="1" applyFill="1" applyBorder="1" applyAlignment="1">
      <alignment vertical="center"/>
    </xf>
    <xf numFmtId="0" fontId="26" fillId="0" borderId="92" xfId="92" applyFont="1" applyFill="1" applyBorder="1" applyAlignment="1">
      <alignment horizontal="center" vertical="center"/>
    </xf>
    <xf numFmtId="3" fontId="26" fillId="0" borderId="79" xfId="92" applyNumberFormat="1" applyFont="1" applyFill="1" applyBorder="1" applyAlignment="1">
      <alignment vertical="center"/>
    </xf>
    <xf numFmtId="179" fontId="26" fillId="0" borderId="79" xfId="92" applyNumberFormat="1" applyFont="1" applyFill="1" applyBorder="1" applyAlignment="1">
      <alignment horizontal="center" vertical="center"/>
    </xf>
    <xf numFmtId="0" fontId="37" fillId="27" borderId="93" xfId="92" applyFont="1" applyFill="1" applyBorder="1" applyAlignment="1">
      <alignment horizontal="center"/>
    </xf>
    <xf numFmtId="0" fontId="37" fillId="27" borderId="94" xfId="92" applyFont="1" applyFill="1" applyBorder="1" applyAlignment="1">
      <alignment horizontal="center"/>
    </xf>
    <xf numFmtId="3" fontId="37" fillId="27" borderId="95" xfId="92" applyNumberFormat="1" applyFont="1" applyFill="1" applyBorder="1" applyAlignment="1">
      <alignment horizontal="center"/>
    </xf>
    <xf numFmtId="0" fontId="26" fillId="0" borderId="84" xfId="92" applyFont="1" applyBorder="1" applyAlignment="1">
      <alignment horizontal="center"/>
    </xf>
    <xf numFmtId="0" fontId="26" fillId="0" borderId="10" xfId="92" applyFont="1" applyBorder="1"/>
    <xf numFmtId="0" fontId="26" fillId="0" borderId="10" xfId="92" applyFont="1" applyBorder="1" applyAlignment="1">
      <alignment horizontal="center"/>
    </xf>
    <xf numFmtId="0" fontId="26" fillId="0" borderId="90" xfId="92" applyFont="1" applyBorder="1" applyAlignment="1">
      <alignment horizontal="center"/>
    </xf>
    <xf numFmtId="0" fontId="26" fillId="0" borderId="79" xfId="92" applyFont="1" applyBorder="1"/>
    <xf numFmtId="0" fontId="26" fillId="0" borderId="79" xfId="92" applyFont="1" applyBorder="1" applyAlignment="1">
      <alignment horizontal="center"/>
    </xf>
    <xf numFmtId="0" fontId="42" fillId="0" borderId="0" xfId="92" applyFont="1"/>
    <xf numFmtId="0" fontId="0" fillId="0" borderId="0" xfId="0" applyAlignment="1"/>
    <xf numFmtId="0" fontId="60" fillId="0" borderId="19" xfId="0" applyFont="1" applyBorder="1"/>
    <xf numFmtId="0" fontId="60" fillId="0" borderId="28" xfId="0" applyFont="1" applyBorder="1"/>
    <xf numFmtId="0" fontId="60" fillId="0" borderId="29" xfId="0" applyFont="1" applyBorder="1"/>
    <xf numFmtId="0" fontId="0" fillId="0" borderId="31" xfId="0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0" borderId="96" xfId="0" applyFont="1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2" fillId="0" borderId="98" xfId="44" applyBorder="1" applyAlignment="1" applyProtection="1">
      <alignment horizontal="center" vertical="center"/>
    </xf>
    <xf numFmtId="0" fontId="3" fillId="0" borderId="10" xfId="0" applyFont="1" applyBorder="1"/>
    <xf numFmtId="0" fontId="2" fillId="0" borderId="69" xfId="44" applyBorder="1" applyAlignment="1" applyProtection="1">
      <alignment horizontal="center"/>
    </xf>
    <xf numFmtId="0" fontId="3" fillId="0" borderId="24" xfId="0" applyFont="1" applyBorder="1" applyAlignment="1">
      <alignment horizontal="left" vertical="center" wrapText="1"/>
    </xf>
    <xf numFmtId="0" fontId="117" fillId="0" borderId="0" xfId="75" applyFont="1" applyAlignment="1">
      <alignment horizontal="center"/>
    </xf>
    <xf numFmtId="0" fontId="117" fillId="0" borderId="0" xfId="75" applyFont="1"/>
    <xf numFmtId="0" fontId="116" fillId="0" borderId="0" xfId="75"/>
    <xf numFmtId="0" fontId="116" fillId="39" borderId="10" xfId="75" applyFill="1" applyBorder="1" applyAlignment="1">
      <alignment horizontal="center"/>
    </xf>
    <xf numFmtId="0" fontId="116" fillId="0" borderId="13" xfId="75" applyBorder="1" applyAlignment="1">
      <alignment horizontal="center"/>
    </xf>
    <xf numFmtId="0" fontId="116" fillId="0" borderId="10" xfId="75" applyBorder="1" applyAlignment="1">
      <alignment horizontal="center"/>
    </xf>
    <xf numFmtId="186" fontId="116" fillId="0" borderId="10" xfId="75" applyNumberFormat="1" applyBorder="1" applyAlignment="1">
      <alignment horizontal="center"/>
    </xf>
    <xf numFmtId="186" fontId="116" fillId="0" borderId="14" xfId="75" applyNumberFormat="1" applyBorder="1" applyAlignment="1">
      <alignment horizontal="center"/>
    </xf>
    <xf numFmtId="0" fontId="116" fillId="0" borderId="10" xfId="75" applyBorder="1"/>
    <xf numFmtId="186" fontId="117" fillId="0" borderId="10" xfId="75" applyNumberFormat="1" applyFont="1" applyBorder="1" applyAlignment="1">
      <alignment horizontal="center"/>
    </xf>
    <xf numFmtId="186" fontId="117" fillId="0" borderId="14" xfId="75" applyNumberFormat="1" applyFont="1" applyBorder="1" applyAlignment="1">
      <alignment horizontal="center"/>
    </xf>
    <xf numFmtId="0" fontId="116" fillId="40" borderId="16" xfId="75" applyFill="1" applyBorder="1"/>
    <xf numFmtId="186" fontId="117" fillId="40" borderId="16" xfId="75" applyNumberFormat="1" applyFont="1" applyFill="1" applyBorder="1" applyAlignment="1">
      <alignment horizontal="center"/>
    </xf>
    <xf numFmtId="186" fontId="117" fillId="40" borderId="17" xfId="75" applyNumberFormat="1" applyFont="1" applyFill="1" applyBorder="1" applyAlignment="1">
      <alignment horizontal="center"/>
    </xf>
    <xf numFmtId="0" fontId="117" fillId="0" borderId="19" xfId="75" applyFont="1" applyBorder="1" applyAlignment="1">
      <alignment horizontal="center"/>
    </xf>
    <xf numFmtId="186" fontId="117" fillId="0" borderId="28" xfId="75" applyNumberFormat="1" applyFont="1" applyBorder="1" applyAlignment="1">
      <alignment horizontal="center"/>
    </xf>
    <xf numFmtId="186" fontId="117" fillId="0" borderId="29" xfId="75" applyNumberFormat="1" applyFont="1" applyBorder="1" applyAlignment="1">
      <alignment horizontal="center"/>
    </xf>
    <xf numFmtId="0" fontId="118" fillId="0" borderId="0" xfId="75" applyFont="1"/>
    <xf numFmtId="0" fontId="117" fillId="0" borderId="0" xfId="75" applyFont="1" applyBorder="1" applyAlignment="1">
      <alignment horizontal="center" vertical="center"/>
    </xf>
    <xf numFmtId="0" fontId="116" fillId="0" borderId="0" xfId="75" applyBorder="1" applyAlignment="1">
      <alignment horizontal="center" vertical="center"/>
    </xf>
    <xf numFmtId="186" fontId="116" fillId="0" borderId="0" xfId="75" applyNumberFormat="1" applyBorder="1" applyAlignment="1">
      <alignment horizontal="center"/>
    </xf>
    <xf numFmtId="186" fontId="117" fillId="0" borderId="0" xfId="75" applyNumberFormat="1" applyFont="1" applyBorder="1" applyAlignment="1">
      <alignment horizontal="center"/>
    </xf>
    <xf numFmtId="0" fontId="117" fillId="41" borderId="25" xfId="75" applyFont="1" applyFill="1" applyBorder="1"/>
    <xf numFmtId="0" fontId="117" fillId="41" borderId="8" xfId="75" applyFont="1" applyFill="1" applyBorder="1"/>
    <xf numFmtId="186" fontId="119" fillId="41" borderId="8" xfId="75" applyNumberFormat="1" applyFont="1" applyFill="1" applyBorder="1" applyAlignment="1">
      <alignment horizontal="center"/>
    </xf>
    <xf numFmtId="0" fontId="117" fillId="41" borderId="26" xfId="75" applyFont="1" applyFill="1" applyBorder="1"/>
    <xf numFmtId="0" fontId="117" fillId="0" borderId="0" xfId="75" applyFont="1" applyFill="1" applyAlignment="1">
      <alignment horizontal="center"/>
    </xf>
    <xf numFmtId="0" fontId="117" fillId="0" borderId="0" xfId="75" applyFont="1" applyFill="1" applyBorder="1" applyAlignment="1">
      <alignment horizontal="left"/>
    </xf>
    <xf numFmtId="0" fontId="116" fillId="0" borderId="0" xfId="75" applyFill="1"/>
    <xf numFmtId="186" fontId="117" fillId="0" borderId="0" xfId="75" applyNumberFormat="1" applyFont="1" applyFill="1" applyBorder="1" applyAlignment="1">
      <alignment horizontal="center"/>
    </xf>
    <xf numFmtId="0" fontId="116" fillId="0" borderId="0" xfId="75" applyFill="1" applyBorder="1"/>
    <xf numFmtId="0" fontId="120" fillId="0" borderId="0" xfId="75" applyFont="1" applyAlignment="1">
      <alignment horizontal="left"/>
    </xf>
    <xf numFmtId="0" fontId="117" fillId="0" borderId="19" xfId="75" applyFont="1" applyBorder="1"/>
    <xf numFmtId="0" fontId="120" fillId="0" borderId="0" xfId="75" applyFont="1" applyAlignment="1">
      <alignment horizontal="center"/>
    </xf>
    <xf numFmtId="0" fontId="117" fillId="0" borderId="0" xfId="75" applyFont="1" applyBorder="1"/>
    <xf numFmtId="0" fontId="116" fillId="41" borderId="8" xfId="75" applyFill="1" applyBorder="1"/>
    <xf numFmtId="186" fontId="119" fillId="41" borderId="26" xfId="75" applyNumberFormat="1" applyFont="1" applyFill="1" applyBorder="1" applyAlignment="1">
      <alignment horizontal="center"/>
    </xf>
    <xf numFmtId="186" fontId="117" fillId="0" borderId="0" xfId="75" applyNumberFormat="1" applyFont="1" applyAlignment="1">
      <alignment horizontal="center"/>
    </xf>
    <xf numFmtId="0" fontId="117" fillId="0" borderId="0" xfId="75" applyFont="1" applyAlignment="1"/>
    <xf numFmtId="0" fontId="116" fillId="0" borderId="0" xfId="75" applyAlignment="1"/>
    <xf numFmtId="0" fontId="119" fillId="0" borderId="10" xfId="75" applyFont="1" applyBorder="1" applyAlignment="1">
      <alignment horizontal="center"/>
    </xf>
    <xf numFmtId="186" fontId="117" fillId="41" borderId="8" xfId="75" applyNumberFormat="1" applyFont="1" applyFill="1" applyBorder="1" applyAlignment="1">
      <alignment horizontal="center"/>
    </xf>
    <xf numFmtId="186" fontId="117" fillId="41" borderId="26" xfId="75" applyNumberFormat="1" applyFont="1" applyFill="1" applyBorder="1" applyAlignment="1">
      <alignment horizontal="center"/>
    </xf>
    <xf numFmtId="0" fontId="118" fillId="0" borderId="0" xfId="75" applyFont="1" applyAlignment="1"/>
    <xf numFmtId="0" fontId="121" fillId="0" borderId="0" xfId="75" applyFont="1" applyAlignment="1"/>
    <xf numFmtId="0" fontId="118" fillId="0" borderId="0" xfId="75" applyFont="1" applyAlignment="1">
      <alignment horizontal="left" vertical="center"/>
    </xf>
    <xf numFmtId="0" fontId="121" fillId="0" borderId="0" xfId="75" applyFont="1" applyAlignment="1">
      <alignment horizontal="left" vertical="center"/>
    </xf>
    <xf numFmtId="186" fontId="117" fillId="41" borderId="8" xfId="75" applyNumberFormat="1" applyFont="1" applyFill="1" applyBorder="1"/>
    <xf numFmtId="0" fontId="117" fillId="0" borderId="29" xfId="75" applyFont="1" applyBorder="1" applyAlignment="1">
      <alignment horizontal="center"/>
    </xf>
    <xf numFmtId="0" fontId="117" fillId="0" borderId="0" xfId="75" applyFont="1" applyBorder="1" applyAlignment="1"/>
    <xf numFmtId="0" fontId="117" fillId="0" borderId="0" xfId="75" applyFont="1" applyBorder="1" applyAlignment="1">
      <alignment horizontal="center"/>
    </xf>
    <xf numFmtId="186" fontId="117" fillId="0" borderId="29" xfId="75" applyNumberFormat="1" applyFont="1" applyBorder="1" applyAlignment="1">
      <alignment horizontal="center" vertical="center"/>
    </xf>
    <xf numFmtId="0" fontId="117" fillId="0" borderId="0" xfId="75" applyFont="1" applyBorder="1" applyAlignment="1">
      <alignment horizontal="left" vertical="center" wrapText="1"/>
    </xf>
    <xf numFmtId="186" fontId="117" fillId="0" borderId="0" xfId="75" applyNumberFormat="1" applyFont="1" applyBorder="1" applyAlignment="1">
      <alignment horizontal="center" vertical="center"/>
    </xf>
    <xf numFmtId="0" fontId="116" fillId="0" borderId="0" xfId="75" applyBorder="1" applyAlignment="1">
      <alignment horizontal="center"/>
    </xf>
    <xf numFmtId="14" fontId="46" fillId="0" borderId="30" xfId="75" applyNumberFormat="1" applyFont="1" applyFill="1" applyBorder="1" applyAlignment="1">
      <alignment vertical="top" wrapText="1"/>
    </xf>
    <xf numFmtId="14" fontId="47" fillId="0" borderId="18" xfId="75" applyNumberFormat="1" applyFont="1" applyFill="1" applyBorder="1" applyAlignment="1">
      <alignment horizontal="center" vertical="top" wrapText="1"/>
    </xf>
    <xf numFmtId="14" fontId="47" fillId="0" borderId="15" xfId="75" applyNumberFormat="1" applyFont="1" applyFill="1" applyBorder="1" applyAlignment="1">
      <alignment vertical="top" wrapText="1"/>
    </xf>
    <xf numFmtId="186" fontId="64" fillId="0" borderId="17" xfId="75" applyNumberFormat="1" applyFont="1" applyFill="1" applyBorder="1" applyAlignment="1">
      <alignment horizontal="center" vertical="top" wrapText="1"/>
    </xf>
    <xf numFmtId="14" fontId="46" fillId="0" borderId="19" xfId="75" applyNumberFormat="1" applyFont="1" applyFill="1" applyBorder="1" applyAlignment="1">
      <alignment vertical="top" wrapText="1"/>
    </xf>
    <xf numFmtId="186" fontId="64" fillId="0" borderId="29" xfId="75" applyNumberFormat="1" applyFont="1" applyFill="1" applyBorder="1" applyAlignment="1">
      <alignment horizontal="center" vertical="top" wrapText="1"/>
    </xf>
    <xf numFmtId="186" fontId="64" fillId="0" borderId="29" xfId="75" applyNumberFormat="1" applyFont="1" applyFill="1" applyBorder="1" applyAlignment="1">
      <alignment horizontal="center" vertical="center" wrapText="1"/>
    </xf>
    <xf numFmtId="0" fontId="117" fillId="0" borderId="19" xfId="75" applyFont="1" applyBorder="1" applyAlignment="1"/>
    <xf numFmtId="0" fontId="117" fillId="39" borderId="56" xfId="75" applyFont="1" applyFill="1" applyBorder="1" applyAlignment="1">
      <alignment horizontal="center" vertical="center"/>
    </xf>
    <xf numFmtId="0" fontId="118" fillId="0" borderId="0" xfId="75" applyFont="1" applyAlignment="1">
      <alignment horizontal="left" vertical="center"/>
    </xf>
    <xf numFmtId="0" fontId="121" fillId="0" borderId="0" xfId="75" applyFont="1" applyAlignment="1">
      <alignment horizontal="left" vertical="center"/>
    </xf>
    <xf numFmtId="0" fontId="118" fillId="0" borderId="0" xfId="75" applyFont="1" applyAlignment="1"/>
    <xf numFmtId="0" fontId="121" fillId="0" borderId="0" xfId="75" applyFont="1" applyAlignment="1"/>
    <xf numFmtId="0" fontId="117" fillId="0" borderId="0" xfId="75" applyFont="1" applyAlignment="1"/>
    <xf numFmtId="0" fontId="116" fillId="0" borderId="0" xfId="75" applyAlignment="1"/>
    <xf numFmtId="0" fontId="117" fillId="0" borderId="19" xfId="75" applyFont="1" applyBorder="1" applyAlignment="1">
      <alignment wrapText="1"/>
    </xf>
    <xf numFmtId="186" fontId="117" fillId="0" borderId="29" xfId="75" applyNumberFormat="1" applyFont="1" applyBorder="1" applyAlignment="1">
      <alignment horizontal="center" wrapText="1"/>
    </xf>
    <xf numFmtId="0" fontId="116" fillId="0" borderId="0" xfId="75" applyAlignment="1">
      <alignment wrapText="1"/>
    </xf>
    <xf numFmtId="0" fontId="117" fillId="39" borderId="13" xfId="75" applyFont="1" applyFill="1" applyBorder="1" applyAlignment="1"/>
    <xf numFmtId="0" fontId="117" fillId="39" borderId="10" xfId="75" applyFont="1" applyFill="1" applyBorder="1" applyAlignment="1"/>
    <xf numFmtId="0" fontId="116" fillId="0" borderId="9" xfId="75" applyBorder="1" applyAlignment="1">
      <alignment horizontal="center"/>
    </xf>
    <xf numFmtId="0" fontId="116" fillId="0" borderId="69" xfId="75" applyBorder="1" applyAlignment="1">
      <alignment horizontal="center"/>
    </xf>
    <xf numFmtId="0" fontId="117" fillId="39" borderId="69" xfId="75" applyFont="1" applyFill="1" applyBorder="1" applyAlignment="1">
      <alignment horizontal="center"/>
    </xf>
    <xf numFmtId="0" fontId="116" fillId="0" borderId="38" xfId="75" applyBorder="1"/>
    <xf numFmtId="14" fontId="46" fillId="0" borderId="0" xfId="75" applyNumberFormat="1" applyFont="1" applyFill="1" applyBorder="1" applyAlignment="1">
      <alignment vertical="top" wrapText="1"/>
    </xf>
    <xf numFmtId="186" fontId="64" fillId="0" borderId="0" xfId="75" applyNumberFormat="1" applyFont="1" applyFill="1" applyBorder="1" applyAlignment="1">
      <alignment horizontal="center" vertical="top" wrapText="1"/>
    </xf>
    <xf numFmtId="0" fontId="117" fillId="0" borderId="0" xfId="75" applyFont="1" applyBorder="1" applyAlignment="1">
      <alignment wrapText="1"/>
    </xf>
    <xf numFmtId="186" fontId="117" fillId="0" borderId="0" xfId="75" applyNumberFormat="1" applyFont="1" applyBorder="1" applyAlignment="1">
      <alignment horizontal="center" wrapText="1"/>
    </xf>
    <xf numFmtId="0" fontId="116" fillId="39" borderId="10" xfId="75" applyFont="1" applyFill="1" applyBorder="1" applyAlignment="1">
      <alignment horizontal="center" vertical="center"/>
    </xf>
    <xf numFmtId="0" fontId="116" fillId="0" borderId="0" xfId="75" applyAlignment="1">
      <alignment horizontal="center"/>
    </xf>
    <xf numFmtId="0" fontId="117" fillId="39" borderId="56" xfId="75" applyFont="1" applyFill="1" applyBorder="1" applyAlignment="1">
      <alignment horizontal="center" vertical="center"/>
    </xf>
    <xf numFmtId="0" fontId="118" fillId="0" borderId="0" xfId="75" applyFont="1" applyAlignment="1"/>
    <xf numFmtId="0" fontId="121" fillId="0" borderId="0" xfId="75" applyFont="1" applyAlignment="1"/>
    <xf numFmtId="0" fontId="118" fillId="0" borderId="0" xfId="75" applyFont="1" applyAlignment="1">
      <alignment horizontal="left" vertical="center"/>
    </xf>
    <xf numFmtId="0" fontId="116" fillId="0" borderId="0" xfId="75" applyBorder="1"/>
    <xf numFmtId="0" fontId="118" fillId="0" borderId="0" xfId="75" applyFont="1" applyAlignment="1">
      <alignment horizontal="left" vertical="center"/>
    </xf>
    <xf numFmtId="0" fontId="121" fillId="0" borderId="0" xfId="75" applyFont="1" applyAlignment="1">
      <alignment horizontal="left" vertical="center"/>
    </xf>
    <xf numFmtId="0" fontId="116" fillId="0" borderId="37" xfId="75" applyBorder="1" applyAlignment="1">
      <alignment horizontal="center"/>
    </xf>
    <xf numFmtId="0" fontId="121" fillId="0" borderId="0" xfId="75" applyFont="1" applyFill="1" applyBorder="1" applyAlignment="1">
      <alignment horizontal="left" vertical="center"/>
    </xf>
    <xf numFmtId="186" fontId="116" fillId="0" borderId="0" xfId="75" applyNumberFormat="1" applyFill="1" applyBorder="1" applyAlignment="1">
      <alignment horizontal="center"/>
    </xf>
    <xf numFmtId="0" fontId="117" fillId="0" borderId="0" xfId="75" applyFont="1" applyFill="1" applyBorder="1"/>
    <xf numFmtId="0" fontId="116" fillId="0" borderId="0" xfId="75" applyFill="1" applyBorder="1" applyAlignment="1">
      <alignment horizontal="center"/>
    </xf>
    <xf numFmtId="0" fontId="117" fillId="0" borderId="0" xfId="75" applyFont="1" applyFill="1" applyBorder="1" applyAlignment="1">
      <alignment horizontal="left"/>
    </xf>
    <xf numFmtId="0" fontId="118" fillId="0" borderId="0" xfId="75" applyFont="1" applyFill="1" applyBorder="1" applyAlignment="1">
      <alignment horizontal="left" vertical="center"/>
    </xf>
    <xf numFmtId="0" fontId="117" fillId="0" borderId="0" xfId="75" applyFont="1" applyFill="1" applyBorder="1" applyAlignment="1">
      <alignment horizontal="center" vertical="center"/>
    </xf>
    <xf numFmtId="0" fontId="119" fillId="0" borderId="0" xfId="75" applyFont="1" applyFill="1" applyBorder="1" applyAlignment="1">
      <alignment horizontal="center"/>
    </xf>
    <xf numFmtId="0" fontId="122" fillId="0" borderId="0" xfId="75" applyFont="1" applyFill="1" applyBorder="1" applyAlignment="1">
      <alignment horizontal="center"/>
    </xf>
    <xf numFmtId="186" fontId="117" fillId="0" borderId="0" xfId="75" applyNumberFormat="1" applyFont="1" applyFill="1" applyBorder="1"/>
    <xf numFmtId="0" fontId="119" fillId="0" borderId="64" xfId="75" applyFont="1" applyBorder="1" applyAlignment="1">
      <alignment horizontal="center"/>
    </xf>
    <xf numFmtId="0" fontId="117" fillId="0" borderId="0" xfId="75" applyFont="1" applyFill="1" applyBorder="1" applyAlignment="1">
      <alignment horizontal="left"/>
    </xf>
    <xf numFmtId="0" fontId="118" fillId="0" borderId="0" xfId="75" applyFont="1" applyAlignment="1"/>
    <xf numFmtId="0" fontId="117" fillId="40" borderId="43" xfId="75" applyFont="1" applyFill="1" applyBorder="1" applyAlignment="1">
      <alignment horizontal="left"/>
    </xf>
    <xf numFmtId="0" fontId="117" fillId="40" borderId="102" xfId="75" applyFont="1" applyFill="1" applyBorder="1" applyAlignment="1">
      <alignment horizontal="left"/>
    </xf>
    <xf numFmtId="0" fontId="117" fillId="40" borderId="60" xfId="75" applyFont="1" applyFill="1" applyBorder="1" applyAlignment="1">
      <alignment horizontal="left"/>
    </xf>
    <xf numFmtId="0" fontId="117" fillId="0" borderId="37" xfId="75" applyFont="1" applyBorder="1" applyAlignment="1">
      <alignment horizontal="left"/>
    </xf>
    <xf numFmtId="0" fontId="117" fillId="0" borderId="9" xfId="75" applyFont="1" applyBorder="1" applyAlignment="1">
      <alignment horizontal="left"/>
    </xf>
    <xf numFmtId="0" fontId="117" fillId="0" borderId="64" xfId="75" applyFont="1" applyBorder="1" applyAlignment="1">
      <alignment horizontal="left"/>
    </xf>
    <xf numFmtId="0" fontId="116" fillId="0" borderId="0" xfId="75" applyBorder="1" applyAlignment="1"/>
    <xf numFmtId="0" fontId="116" fillId="0" borderId="13" xfId="75" applyBorder="1" applyAlignment="1"/>
    <xf numFmtId="0" fontId="116" fillId="0" borderId="10" xfId="75" applyBorder="1" applyAlignment="1"/>
    <xf numFmtId="0" fontId="117" fillId="0" borderId="19" xfId="75" applyFont="1" applyBorder="1" applyAlignment="1"/>
    <xf numFmtId="0" fontId="117" fillId="40" borderId="15" xfId="75" applyFont="1" applyFill="1" applyBorder="1" applyAlignment="1">
      <alignment horizontal="left"/>
    </xf>
    <xf numFmtId="0" fontId="117" fillId="40" borderId="16" xfId="75" applyFont="1" applyFill="1" applyBorder="1" applyAlignment="1">
      <alignment horizontal="left"/>
    </xf>
    <xf numFmtId="0" fontId="117" fillId="0" borderId="25" xfId="75" applyFont="1" applyBorder="1" applyAlignment="1">
      <alignment horizontal="left" vertical="center" wrapText="1"/>
    </xf>
    <xf numFmtId="0" fontId="117" fillId="0" borderId="13" xfId="75" applyFont="1" applyBorder="1" applyAlignment="1">
      <alignment horizontal="left"/>
    </xf>
    <xf numFmtId="0" fontId="117" fillId="0" borderId="10" xfId="75" applyFont="1" applyBorder="1" applyAlignment="1">
      <alignment horizontal="left"/>
    </xf>
    <xf numFmtId="0" fontId="121" fillId="0" borderId="0" xfId="75" applyFont="1" applyAlignment="1"/>
    <xf numFmtId="0" fontId="118" fillId="0" borderId="0" xfId="75" applyFont="1" applyAlignment="1">
      <alignment horizontal="left"/>
    </xf>
    <xf numFmtId="0" fontId="118" fillId="0" borderId="0" xfId="75" applyFont="1" applyAlignment="1">
      <alignment horizontal="left" vertical="center"/>
    </xf>
    <xf numFmtId="0" fontId="117" fillId="41" borderId="40" xfId="75" applyFont="1" applyFill="1" applyBorder="1"/>
    <xf numFmtId="0" fontId="116" fillId="41" borderId="41" xfId="75" applyFill="1" applyBorder="1"/>
    <xf numFmtId="186" fontId="117" fillId="41" borderId="41" xfId="75" applyNumberFormat="1" applyFont="1" applyFill="1" applyBorder="1" applyAlignment="1">
      <alignment horizontal="center"/>
    </xf>
    <xf numFmtId="0" fontId="117" fillId="0" borderId="19" xfId="75" applyFont="1" applyBorder="1" applyAlignment="1">
      <alignment vertical="center" wrapText="1"/>
    </xf>
    <xf numFmtId="0" fontId="123" fillId="0" borderId="10" xfId="75" applyFont="1" applyBorder="1" applyAlignment="1">
      <alignment horizontal="center"/>
    </xf>
    <xf numFmtId="0" fontId="117" fillId="39" borderId="25" xfId="75" applyFont="1" applyFill="1" applyBorder="1"/>
    <xf numFmtId="0" fontId="116" fillId="39" borderId="8" xfId="75" applyFill="1" applyBorder="1"/>
    <xf numFmtId="0" fontId="117" fillId="39" borderId="26" xfId="75" applyFont="1" applyFill="1" applyBorder="1"/>
    <xf numFmtId="0" fontId="117" fillId="0" borderId="29" xfId="75" applyFont="1" applyBorder="1" applyAlignment="1">
      <alignment horizontal="center" vertical="center" wrapText="1"/>
    </xf>
    <xf numFmtId="0" fontId="120" fillId="0" borderId="0" xfId="75" applyFont="1" applyAlignment="1">
      <alignment horizontal="left" vertical="center"/>
    </xf>
    <xf numFmtId="0" fontId="116" fillId="0" borderId="13" xfId="75" applyBorder="1" applyAlignment="1">
      <alignment horizontal="left"/>
    </xf>
    <xf numFmtId="0" fontId="116" fillId="39" borderId="66" xfId="75" applyFill="1" applyBorder="1" applyAlignment="1">
      <alignment horizontal="center"/>
    </xf>
    <xf numFmtId="0" fontId="116" fillId="39" borderId="23" xfId="75" applyFill="1" applyBorder="1" applyAlignment="1">
      <alignment horizontal="center"/>
    </xf>
    <xf numFmtId="0" fontId="117" fillId="39" borderId="62" xfId="75" applyFont="1" applyFill="1" applyBorder="1" applyAlignment="1">
      <alignment horizontal="center" vertical="center"/>
    </xf>
    <xf numFmtId="186" fontId="116" fillId="0" borderId="69" xfId="75" applyNumberFormat="1" applyBorder="1" applyAlignment="1">
      <alignment horizontal="center"/>
    </xf>
    <xf numFmtId="186" fontId="117" fillId="0" borderId="69" xfId="75" applyNumberFormat="1" applyFont="1" applyBorder="1" applyAlignment="1">
      <alignment horizontal="center"/>
    </xf>
    <xf numFmtId="186" fontId="117" fillId="40" borderId="97" xfId="75" applyNumberFormat="1" applyFont="1" applyFill="1" applyBorder="1" applyAlignment="1">
      <alignment horizontal="center"/>
    </xf>
    <xf numFmtId="186" fontId="116" fillId="0" borderId="10" xfId="75" applyNumberFormat="1" applyBorder="1"/>
    <xf numFmtId="186" fontId="117" fillId="0" borderId="22" xfId="75" applyNumberFormat="1" applyFont="1" applyBorder="1" applyAlignment="1">
      <alignment horizontal="center"/>
    </xf>
    <xf numFmtId="186" fontId="116" fillId="39" borderId="27" xfId="75" applyNumberFormat="1" applyFill="1" applyBorder="1" applyAlignment="1">
      <alignment horizontal="center" vertical="center"/>
    </xf>
    <xf numFmtId="0" fontId="116" fillId="0" borderId="69" xfId="75" applyBorder="1"/>
    <xf numFmtId="0" fontId="116" fillId="0" borderId="20" xfId="75" applyBorder="1"/>
    <xf numFmtId="186" fontId="117" fillId="0" borderId="27" xfId="75" applyNumberFormat="1" applyFont="1" applyBorder="1"/>
    <xf numFmtId="186" fontId="116" fillId="0" borderId="38" xfId="75" applyNumberFormat="1" applyBorder="1" applyAlignment="1">
      <alignment horizontal="center"/>
    </xf>
    <xf numFmtId="186" fontId="116" fillId="0" borderId="38" xfId="75" applyNumberFormat="1" applyBorder="1"/>
    <xf numFmtId="0" fontId="116" fillId="0" borderId="103" xfId="75" applyBorder="1"/>
    <xf numFmtId="0" fontId="117" fillId="0" borderId="30" xfId="75" applyFont="1" applyBorder="1" applyAlignment="1">
      <alignment horizontal="center" vertical="center" wrapText="1"/>
    </xf>
    <xf numFmtId="0" fontId="117" fillId="0" borderId="56" xfId="75" applyFont="1" applyBorder="1" applyAlignment="1">
      <alignment horizontal="center" vertical="center" wrapText="1"/>
    </xf>
    <xf numFmtId="0" fontId="117" fillId="39" borderId="15" xfId="75" applyFont="1" applyFill="1" applyBorder="1" applyAlignment="1"/>
    <xf numFmtId="0" fontId="117" fillId="39" borderId="16" xfId="75" applyFont="1" applyFill="1" applyBorder="1" applyAlignment="1"/>
    <xf numFmtId="0" fontId="117" fillId="39" borderId="97" xfId="75" applyFont="1" applyFill="1" applyBorder="1" applyAlignment="1">
      <alignment horizontal="center"/>
    </xf>
    <xf numFmtId="186" fontId="117" fillId="0" borderId="56" xfId="75" applyNumberFormat="1" applyFont="1" applyBorder="1" applyAlignment="1">
      <alignment horizontal="center" vertical="center"/>
    </xf>
    <xf numFmtId="0" fontId="116" fillId="0" borderId="56" xfId="75" applyBorder="1" applyAlignment="1">
      <alignment horizontal="center"/>
    </xf>
    <xf numFmtId="0" fontId="116" fillId="0" borderId="18" xfId="75" applyBorder="1" applyAlignment="1">
      <alignment horizontal="center"/>
    </xf>
    <xf numFmtId="0" fontId="116" fillId="0" borderId="14" xfId="75" applyBorder="1" applyAlignment="1">
      <alignment horizontal="center"/>
    </xf>
    <xf numFmtId="0" fontId="117" fillId="0" borderId="14" xfId="75" applyFont="1" applyBorder="1" applyAlignment="1">
      <alignment horizontal="center"/>
    </xf>
    <xf numFmtId="0" fontId="116" fillId="0" borderId="22" xfId="75" applyBorder="1" applyAlignment="1">
      <alignment horizontal="center"/>
    </xf>
    <xf numFmtId="0" fontId="116" fillId="0" borderId="24" xfId="75" applyBorder="1" applyAlignment="1">
      <alignment horizontal="center"/>
    </xf>
    <xf numFmtId="0" fontId="119" fillId="0" borderId="27" xfId="75" applyFont="1" applyBorder="1" applyAlignment="1">
      <alignment horizontal="center"/>
    </xf>
    <xf numFmtId="169" fontId="8" fillId="0" borderId="0" xfId="64" applyNumberFormat="1"/>
    <xf numFmtId="0" fontId="8" fillId="0" borderId="0" xfId="93"/>
    <xf numFmtId="0" fontId="7" fillId="22" borderId="25" xfId="73" applyNumberFormat="1" applyFont="1" applyFill="1" applyBorder="1" applyAlignment="1" applyProtection="1"/>
    <xf numFmtId="0" fontId="7" fillId="22" borderId="26" xfId="73" applyNumberFormat="1" applyFont="1" applyFill="1" applyBorder="1" applyAlignment="1" applyProtection="1"/>
    <xf numFmtId="0" fontId="8" fillId="0" borderId="0" xfId="73" applyNumberFormat="1" applyFont="1" applyFill="1" applyBorder="1" applyAlignment="1" applyProtection="1"/>
    <xf numFmtId="0" fontId="7" fillId="22" borderId="34" xfId="73" applyNumberFormat="1" applyFont="1" applyFill="1" applyBorder="1" applyAlignment="1" applyProtection="1"/>
    <xf numFmtId="0" fontId="7" fillId="23" borderId="0" xfId="73" applyNumberFormat="1" applyFont="1" applyFill="1" applyBorder="1" applyAlignment="1" applyProtection="1"/>
    <xf numFmtId="0" fontId="7" fillId="24" borderId="30" xfId="73" applyNumberFormat="1" applyFont="1" applyFill="1" applyBorder="1" applyAlignment="1" applyProtection="1"/>
    <xf numFmtId="0" fontId="7" fillId="24" borderId="56" xfId="73" applyNumberFormat="1" applyFont="1" applyFill="1" applyBorder="1" applyAlignment="1" applyProtection="1"/>
    <xf numFmtId="0" fontId="8" fillId="24" borderId="18" xfId="73" applyNumberFormat="1" applyFont="1" applyFill="1" applyBorder="1" applyAlignment="1" applyProtection="1"/>
    <xf numFmtId="0" fontId="8" fillId="24" borderId="30" xfId="73" applyNumberFormat="1" applyFont="1" applyFill="1" applyBorder="1" applyAlignment="1" applyProtection="1"/>
    <xf numFmtId="0" fontId="8" fillId="24" borderId="56" xfId="73" applyNumberFormat="1" applyFont="1" applyFill="1" applyBorder="1" applyAlignment="1" applyProtection="1"/>
    <xf numFmtId="0" fontId="7" fillId="0" borderId="0" xfId="73" applyNumberFormat="1" applyFont="1" applyFill="1" applyBorder="1" applyAlignment="1" applyProtection="1">
      <alignment horizontal="center"/>
    </xf>
    <xf numFmtId="0" fontId="7" fillId="25" borderId="31" xfId="73" applyNumberFormat="1" applyFont="1" applyFill="1" applyBorder="1" applyAlignment="1" applyProtection="1">
      <alignment horizontal="center"/>
    </xf>
    <xf numFmtId="0" fontId="7" fillId="25" borderId="23" xfId="73" applyNumberFormat="1" applyFont="1" applyFill="1" applyBorder="1" applyAlignment="1" applyProtection="1">
      <alignment horizontal="center"/>
    </xf>
    <xf numFmtId="0" fontId="7" fillId="25" borderId="24" xfId="73" applyNumberFormat="1" applyFont="1" applyFill="1" applyBorder="1" applyAlignment="1" applyProtection="1">
      <alignment horizontal="center"/>
    </xf>
    <xf numFmtId="0" fontId="7" fillId="25" borderId="13" xfId="73" applyNumberFormat="1" applyFont="1" applyFill="1" applyBorder="1" applyAlignment="1" applyProtection="1">
      <alignment horizontal="left"/>
    </xf>
    <xf numFmtId="0" fontId="7" fillId="25" borderId="10" xfId="73" applyNumberFormat="1" applyFont="1" applyFill="1" applyBorder="1" applyAlignment="1" applyProtection="1">
      <alignment horizontal="center"/>
    </xf>
    <xf numFmtId="0" fontId="7" fillId="25" borderId="14" xfId="73" applyNumberFormat="1" applyFont="1" applyFill="1" applyBorder="1" applyAlignment="1" applyProtection="1">
      <alignment horizontal="center"/>
    </xf>
    <xf numFmtId="0" fontId="7" fillId="25" borderId="10" xfId="73" applyNumberFormat="1" applyFont="1" applyFill="1" applyBorder="1" applyAlignment="1" applyProtection="1"/>
    <xf numFmtId="0" fontId="7" fillId="25" borderId="14" xfId="73" applyNumberFormat="1" applyFont="1" applyFill="1" applyBorder="1" applyAlignment="1" applyProtection="1"/>
    <xf numFmtId="0" fontId="7" fillId="0" borderId="0" xfId="73" applyNumberFormat="1" applyFont="1" applyFill="1" applyBorder="1" applyAlignment="1" applyProtection="1"/>
    <xf numFmtId="0" fontId="8" fillId="0" borderId="31" xfId="73" applyNumberFormat="1" applyFont="1" applyFill="1" applyBorder="1" applyAlignment="1" applyProtection="1"/>
    <xf numFmtId="0" fontId="8" fillId="0" borderId="23" xfId="73" applyNumberFormat="1" applyFont="1" applyFill="1" applyBorder="1" applyAlignment="1" applyProtection="1"/>
    <xf numFmtId="168" fontId="8" fillId="0" borderId="24" xfId="73" applyNumberFormat="1" applyFont="1" applyFill="1" applyBorder="1" applyAlignment="1" applyProtection="1"/>
    <xf numFmtId="0" fontId="8" fillId="0" borderId="13" xfId="73" applyNumberFormat="1" applyFont="1" applyFill="1" applyBorder="1" applyAlignment="1" applyProtection="1"/>
    <xf numFmtId="0" fontId="8" fillId="0" borderId="10" xfId="73" applyNumberFormat="1" applyFont="1" applyFill="1" applyBorder="1" applyAlignment="1" applyProtection="1"/>
    <xf numFmtId="168" fontId="7" fillId="0" borderId="14" xfId="73" applyNumberFormat="1" applyFont="1" applyFill="1" applyBorder="1" applyAlignment="1" applyProtection="1"/>
    <xf numFmtId="168" fontId="8" fillId="0" borderId="14" xfId="73" applyNumberFormat="1" applyFont="1" applyFill="1" applyBorder="1" applyAlignment="1" applyProtection="1"/>
    <xf numFmtId="168" fontId="8" fillId="0" borderId="0" xfId="73" applyNumberFormat="1" applyFont="1" applyFill="1" applyBorder="1" applyAlignment="1" applyProtection="1"/>
    <xf numFmtId="0" fontId="8" fillId="0" borderId="15" xfId="73" applyNumberFormat="1" applyFont="1" applyFill="1" applyBorder="1" applyAlignment="1" applyProtection="1"/>
    <xf numFmtId="0" fontId="8" fillId="0" borderId="16" xfId="73" applyNumberFormat="1" applyFont="1" applyFill="1" applyBorder="1" applyAlignment="1" applyProtection="1"/>
    <xf numFmtId="168" fontId="7" fillId="0" borderId="17" xfId="73" applyNumberFormat="1" applyFont="1" applyFill="1" applyBorder="1" applyAlignment="1" applyProtection="1"/>
    <xf numFmtId="168" fontId="8" fillId="0" borderId="13" xfId="73" applyNumberFormat="1" applyFont="1" applyFill="1" applyBorder="1" applyAlignment="1" applyProtection="1"/>
    <xf numFmtId="168" fontId="8" fillId="0" borderId="10" xfId="73" applyNumberFormat="1" applyFont="1" applyFill="1" applyBorder="1" applyAlignment="1" applyProtection="1"/>
    <xf numFmtId="168" fontId="8" fillId="0" borderId="15" xfId="73" applyNumberFormat="1" applyFont="1" applyFill="1" applyBorder="1" applyAlignment="1" applyProtection="1"/>
    <xf numFmtId="168" fontId="8" fillId="0" borderId="16" xfId="73" applyNumberFormat="1" applyFont="1" applyFill="1" applyBorder="1" applyAlignment="1" applyProtection="1"/>
    <xf numFmtId="168" fontId="8" fillId="0" borderId="17" xfId="73" applyNumberFormat="1" applyFont="1" applyFill="1" applyBorder="1" applyAlignment="1" applyProtection="1"/>
    <xf numFmtId="0" fontId="8" fillId="0" borderId="21" xfId="73" applyNumberFormat="1" applyFont="1" applyFill="1" applyBorder="1" applyAlignment="1" applyProtection="1"/>
    <xf numFmtId="0" fontId="8" fillId="0" borderId="20" xfId="73" applyNumberFormat="1" applyFont="1" applyFill="1" applyBorder="1" applyAlignment="1" applyProtection="1"/>
    <xf numFmtId="168" fontId="8" fillId="0" borderId="42" xfId="73" applyNumberFormat="1" applyFont="1" applyFill="1" applyBorder="1" applyAlignment="1" applyProtection="1"/>
    <xf numFmtId="0" fontId="7" fillId="25" borderId="25" xfId="73" applyNumberFormat="1" applyFont="1" applyFill="1" applyBorder="1" applyAlignment="1" applyProtection="1"/>
    <xf numFmtId="0" fontId="7" fillId="0" borderId="19" xfId="73" applyNumberFormat="1" applyFont="1" applyFill="1" applyBorder="1" applyAlignment="1" applyProtection="1"/>
    <xf numFmtId="168" fontId="7" fillId="0" borderId="29" xfId="73" applyNumberFormat="1" applyFont="1" applyFill="1" applyBorder="1" applyAlignment="1" applyProtection="1"/>
    <xf numFmtId="0" fontId="7" fillId="25" borderId="27" xfId="73" applyNumberFormat="1" applyFont="1" applyFill="1" applyBorder="1" applyAlignment="1" applyProtection="1"/>
    <xf numFmtId="0" fontId="7" fillId="0" borderId="8" xfId="73" applyNumberFormat="1" applyFont="1" applyFill="1" applyBorder="1" applyAlignment="1" applyProtection="1"/>
    <xf numFmtId="0" fontId="7" fillId="22" borderId="27" xfId="73" applyNumberFormat="1" applyFont="1" applyFill="1" applyBorder="1" applyAlignment="1" applyProtection="1"/>
    <xf numFmtId="0" fontId="8" fillId="24" borderId="19" xfId="73" applyNumberFormat="1" applyFont="1" applyFill="1" applyBorder="1" applyAlignment="1" applyProtection="1"/>
    <xf numFmtId="0" fontId="8" fillId="24" borderId="28" xfId="73" applyNumberFormat="1" applyFont="1" applyFill="1" applyBorder="1" applyAlignment="1" applyProtection="1"/>
    <xf numFmtId="0" fontId="8" fillId="24" borderId="29" xfId="73" applyNumberFormat="1" applyFont="1" applyFill="1" applyBorder="1" applyAlignment="1" applyProtection="1"/>
    <xf numFmtId="0" fontId="8" fillId="0" borderId="30" xfId="73" applyNumberFormat="1" applyFont="1" applyFill="1" applyBorder="1" applyAlignment="1" applyProtection="1"/>
    <xf numFmtId="0" fontId="7" fillId="25" borderId="19" xfId="73" applyNumberFormat="1" applyFont="1" applyFill="1" applyBorder="1" applyAlignment="1" applyProtection="1">
      <alignment horizontal="center"/>
    </xf>
    <xf numFmtId="0" fontId="7" fillId="25" borderId="28" xfId="73" applyNumberFormat="1" applyFont="1" applyFill="1" applyBorder="1" applyAlignment="1" applyProtection="1">
      <alignment horizontal="center"/>
    </xf>
    <xf numFmtId="0" fontId="7" fillId="25" borderId="29" xfId="73" applyNumberFormat="1" applyFont="1" applyFill="1" applyBorder="1" applyAlignment="1" applyProtection="1">
      <alignment horizontal="center"/>
    </xf>
    <xf numFmtId="0" fontId="7" fillId="25" borderId="35" xfId="73" applyNumberFormat="1" applyFont="1" applyFill="1" applyBorder="1" applyAlignment="1" applyProtection="1">
      <alignment horizontal="left"/>
    </xf>
    <xf numFmtId="0" fontId="7" fillId="25" borderId="34" xfId="73" applyNumberFormat="1" applyFont="1" applyFill="1" applyBorder="1" applyAlignment="1" applyProtection="1"/>
    <xf numFmtId="168" fontId="7" fillId="0" borderId="0" xfId="73" applyNumberFormat="1" applyFont="1" applyFill="1" applyBorder="1" applyAlignment="1" applyProtection="1"/>
    <xf numFmtId="168" fontId="8" fillId="0" borderId="40" xfId="73" applyNumberFormat="1" applyFont="1" applyFill="1" applyBorder="1" applyAlignment="1" applyProtection="1"/>
    <xf numFmtId="168" fontId="8" fillId="0" borderId="41" xfId="73" applyNumberFormat="1" applyFont="1" applyFill="1" applyBorder="1" applyAlignment="1" applyProtection="1"/>
    <xf numFmtId="0" fontId="7" fillId="0" borderId="28" xfId="73" applyNumberFormat="1" applyFont="1" applyFill="1" applyBorder="1" applyAlignment="1" applyProtection="1"/>
    <xf numFmtId="0" fontId="7" fillId="25" borderId="19" xfId="73" applyNumberFormat="1" applyFont="1" applyFill="1" applyBorder="1" applyAlignment="1" applyProtection="1">
      <alignment horizontal="left"/>
    </xf>
    <xf numFmtId="0" fontId="85" fillId="0" borderId="0" xfId="93" applyFont="1"/>
    <xf numFmtId="0" fontId="8" fillId="0" borderId="24" xfId="73" applyNumberFormat="1" applyFont="1" applyFill="1" applyBorder="1" applyAlignment="1" applyProtection="1"/>
    <xf numFmtId="0" fontId="7" fillId="25" borderId="25" xfId="73" applyNumberFormat="1" applyFont="1" applyFill="1" applyBorder="1" applyAlignment="1" applyProtection="1">
      <alignment horizontal="left"/>
    </xf>
    <xf numFmtId="0" fontId="7" fillId="25" borderId="36" xfId="73" applyNumberFormat="1" applyFont="1" applyFill="1" applyBorder="1" applyAlignment="1" applyProtection="1"/>
    <xf numFmtId="0" fontId="8" fillId="0" borderId="14" xfId="73" applyNumberFormat="1" applyFont="1" applyFill="1" applyBorder="1" applyAlignment="1" applyProtection="1"/>
    <xf numFmtId="0" fontId="8" fillId="0" borderId="37" xfId="73" applyNumberFormat="1" applyFont="1" applyFill="1" applyBorder="1" applyAlignment="1" applyProtection="1"/>
    <xf numFmtId="168" fontId="8" fillId="0" borderId="38" xfId="73" applyNumberFormat="1" applyFont="1" applyFill="1" applyBorder="1" applyAlignment="1" applyProtection="1"/>
    <xf numFmtId="0" fontId="8" fillId="0" borderId="22" xfId="73" applyNumberFormat="1" applyFont="1" applyFill="1" applyBorder="1" applyAlignment="1" applyProtection="1"/>
    <xf numFmtId="0" fontId="8" fillId="0" borderId="43" xfId="73" applyNumberFormat="1" applyFont="1" applyFill="1" applyBorder="1" applyAlignment="1" applyProtection="1"/>
    <xf numFmtId="168" fontId="8" fillId="0" borderId="44" xfId="73" applyNumberFormat="1" applyFont="1" applyFill="1" applyBorder="1" applyAlignment="1" applyProtection="1"/>
    <xf numFmtId="0" fontId="7" fillId="22" borderId="25" xfId="73" applyNumberFormat="1" applyFont="1" applyFill="1" applyBorder="1" applyAlignment="1" applyProtection="1">
      <alignment horizontal="center"/>
    </xf>
    <xf numFmtId="0" fontId="7" fillId="22" borderId="8" xfId="73" applyNumberFormat="1" applyFont="1" applyFill="1" applyBorder="1" applyAlignment="1" applyProtection="1">
      <alignment horizontal="center"/>
    </xf>
    <xf numFmtId="0" fontId="7" fillId="22" borderId="26" xfId="73" applyNumberFormat="1" applyFont="1" applyFill="1" applyBorder="1" applyAlignment="1" applyProtection="1">
      <alignment horizontal="center"/>
    </xf>
    <xf numFmtId="2" fontId="8" fillId="0" borderId="10" xfId="73" applyNumberFormat="1" applyFont="1" applyFill="1" applyBorder="1" applyAlignment="1" applyProtection="1"/>
    <xf numFmtId="0" fontId="8" fillId="0" borderId="18" xfId="73" applyNumberFormat="1" applyFont="1" applyFill="1" applyBorder="1" applyAlignment="1" applyProtection="1"/>
    <xf numFmtId="0" fontId="8" fillId="0" borderId="17" xfId="73" applyNumberFormat="1" applyFont="1" applyFill="1" applyBorder="1" applyAlignment="1" applyProtection="1"/>
    <xf numFmtId="169" fontId="8" fillId="0" borderId="0" xfId="64" applyNumberFormat="1" applyFill="1"/>
    <xf numFmtId="169" fontId="8" fillId="0" borderId="0" xfId="63" applyNumberFormat="1"/>
    <xf numFmtId="169" fontId="8" fillId="0" borderId="0" xfId="63" applyNumberFormat="1" applyFill="1"/>
    <xf numFmtId="169" fontId="8" fillId="32" borderId="55" xfId="63" applyNumberFormat="1" applyFill="1" applyBorder="1"/>
    <xf numFmtId="169" fontId="8" fillId="0" borderId="72" xfId="63" applyNumberFormat="1" applyFill="1" applyBorder="1"/>
    <xf numFmtId="169" fontId="8" fillId="0" borderId="0" xfId="63" applyNumberFormat="1" applyFont="1" applyFill="1"/>
    <xf numFmtId="169" fontId="8" fillId="32" borderId="55" xfId="63" applyNumberFormat="1" applyFont="1" applyFill="1" applyBorder="1"/>
    <xf numFmtId="169" fontId="8" fillId="0" borderId="72" xfId="63" applyNumberFormat="1" applyFont="1" applyFill="1" applyBorder="1"/>
    <xf numFmtId="169" fontId="7" fillId="0" borderId="56" xfId="63" applyNumberFormat="1" applyFont="1" applyBorder="1" applyAlignment="1">
      <alignment horizontal="center"/>
    </xf>
    <xf numFmtId="169" fontId="7" fillId="0" borderId="18" xfId="63" applyNumberFormat="1" applyFont="1" applyBorder="1"/>
    <xf numFmtId="169" fontId="7" fillId="0" borderId="18" xfId="63" applyNumberFormat="1" applyFont="1" applyBorder="1" applyAlignment="1">
      <alignment horizontal="center"/>
    </xf>
    <xf numFmtId="169" fontId="23" fillId="25" borderId="61" xfId="81" applyNumberFormat="1" applyFont="1" applyFill="1" applyBorder="1" applyAlignment="1">
      <alignment shrinkToFit="1"/>
    </xf>
    <xf numFmtId="169" fontId="23" fillId="25" borderId="34" xfId="81" applyNumberFormat="1" applyFont="1" applyFill="1" applyBorder="1" applyAlignment="1">
      <alignment shrinkToFit="1"/>
    </xf>
    <xf numFmtId="169" fontId="23" fillId="25" borderId="27" xfId="81" applyNumberFormat="1" applyFont="1" applyFill="1" applyBorder="1" applyAlignment="1">
      <alignment shrinkToFit="1"/>
    </xf>
    <xf numFmtId="169" fontId="7" fillId="0" borderId="16" xfId="63" applyNumberFormat="1" applyFont="1" applyBorder="1" applyAlignment="1">
      <alignment horizontal="center"/>
    </xf>
    <xf numFmtId="169" fontId="7" fillId="0" borderId="17" xfId="63" applyNumberFormat="1" applyFont="1" applyBorder="1"/>
    <xf numFmtId="169" fontId="7" fillId="0" borderId="17" xfId="63" applyNumberFormat="1" applyFont="1" applyBorder="1" applyAlignment="1">
      <alignment horizontal="center"/>
    </xf>
    <xf numFmtId="169" fontId="12" fillId="0" borderId="37" xfId="90" applyNumberFormat="1" applyFont="1" applyFill="1" applyBorder="1" applyAlignment="1"/>
    <xf numFmtId="3" fontId="8" fillId="0" borderId="38" xfId="81" applyNumberFormat="1" applyFont="1" applyBorder="1" applyAlignment="1">
      <alignment horizontal="center" shrinkToFit="1"/>
    </xf>
    <xf numFmtId="3" fontId="8" fillId="0" borderId="106" xfId="81" applyNumberFormat="1" applyFont="1" applyBorder="1" applyAlignment="1">
      <alignment horizontal="center" shrinkToFit="1"/>
    </xf>
    <xf numFmtId="169" fontId="7" fillId="0" borderId="107" xfId="90" applyNumberFormat="1" applyFont="1" applyFill="1" applyBorder="1" applyAlignment="1"/>
    <xf numFmtId="192" fontId="8" fillId="0" borderId="23" xfId="63" applyNumberFormat="1" applyFont="1" applyBorder="1"/>
    <xf numFmtId="192" fontId="8" fillId="0" borderId="23" xfId="63" applyNumberFormat="1" applyFont="1" applyBorder="1" applyAlignment="1">
      <alignment horizontal="center"/>
    </xf>
    <xf numFmtId="192" fontId="8" fillId="0" borderId="24" xfId="63" applyNumberFormat="1" applyFont="1" applyBorder="1"/>
    <xf numFmtId="169" fontId="7" fillId="0" borderId="30" xfId="90" applyNumberFormat="1" applyFont="1" applyFill="1" applyBorder="1" applyAlignment="1"/>
    <xf numFmtId="192" fontId="8" fillId="0" borderId="56" xfId="63" applyNumberFormat="1" applyFont="1" applyBorder="1" applyAlignment="1">
      <alignment horizontal="center"/>
    </xf>
    <xf numFmtId="192" fontId="8" fillId="0" borderId="18" xfId="63" applyNumberFormat="1" applyFont="1" applyBorder="1" applyAlignment="1">
      <alignment horizontal="center"/>
    </xf>
    <xf numFmtId="169" fontId="7" fillId="0" borderId="37" xfId="90" applyNumberFormat="1" applyFont="1" applyFill="1" applyBorder="1" applyAlignment="1"/>
    <xf numFmtId="192" fontId="8" fillId="0" borderId="10" xfId="63" applyNumberFormat="1" applyFont="1" applyBorder="1"/>
    <xf numFmtId="192" fontId="8" fillId="0" borderId="10" xfId="63" applyNumberFormat="1" applyFont="1" applyBorder="1" applyAlignment="1">
      <alignment horizontal="center"/>
    </xf>
    <xf numFmtId="192" fontId="8" fillId="0" borderId="14" xfId="63" applyNumberFormat="1" applyFont="1" applyBorder="1"/>
    <xf numFmtId="169" fontId="7" fillId="0" borderId="13" xfId="90" applyNumberFormat="1" applyFont="1" applyFill="1" applyBorder="1" applyAlignment="1"/>
    <xf numFmtId="192" fontId="8" fillId="0" borderId="14" xfId="63" applyNumberFormat="1" applyFont="1" applyBorder="1" applyAlignment="1">
      <alignment horizontal="center"/>
    </xf>
    <xf numFmtId="169" fontId="25" fillId="0" borderId="37" xfId="90" applyNumberFormat="1" applyFont="1" applyFill="1" applyBorder="1" applyAlignment="1"/>
    <xf numFmtId="169" fontId="12" fillId="0" borderId="71" xfId="90" applyNumberFormat="1" applyFont="1" applyFill="1" applyBorder="1" applyAlignment="1"/>
    <xf numFmtId="3" fontId="8" fillId="0" borderId="44" xfId="81" applyNumberFormat="1" applyFont="1" applyBorder="1" applyAlignment="1">
      <alignment horizontal="center" shrinkToFit="1"/>
    </xf>
    <xf numFmtId="169" fontId="7" fillId="0" borderId="43" xfId="90" applyNumberFormat="1" applyFont="1" applyFill="1" applyBorder="1" applyAlignment="1"/>
    <xf numFmtId="192" fontId="8" fillId="0" borderId="16" xfId="63" applyNumberFormat="1" applyFont="1" applyBorder="1"/>
    <xf numFmtId="192" fontId="8" fillId="0" borderId="16" xfId="63" applyNumberFormat="1" applyFont="1" applyBorder="1" applyAlignment="1">
      <alignment horizontal="center"/>
    </xf>
    <xf numFmtId="192" fontId="8" fillId="0" borderId="17" xfId="63" applyNumberFormat="1" applyFont="1" applyBorder="1"/>
    <xf numFmtId="169" fontId="7" fillId="0" borderId="15" xfId="90" applyNumberFormat="1" applyFont="1" applyFill="1" applyBorder="1" applyAlignment="1"/>
    <xf numFmtId="192" fontId="8" fillId="0" borderId="17" xfId="63" applyNumberFormat="1" applyFont="1" applyBorder="1" applyAlignment="1">
      <alignment horizontal="center"/>
    </xf>
    <xf numFmtId="169" fontId="21" fillId="33" borderId="19" xfId="90" applyNumberFormat="1" applyFont="1" applyFill="1" applyBorder="1" applyAlignment="1">
      <alignment horizontal="center"/>
    </xf>
    <xf numFmtId="3" fontId="7" fillId="33" borderId="28" xfId="63" applyNumberFormat="1" applyFont="1" applyFill="1" applyBorder="1"/>
    <xf numFmtId="3" fontId="7" fillId="33" borderId="26" xfId="63" applyNumberFormat="1" applyFont="1" applyFill="1" applyBorder="1"/>
    <xf numFmtId="169" fontId="8" fillId="0" borderId="0" xfId="63" applyNumberFormat="1" applyFont="1"/>
    <xf numFmtId="169" fontId="12" fillId="0" borderId="107" xfId="90" applyNumberFormat="1" applyFont="1" applyFill="1" applyBorder="1" applyAlignment="1"/>
    <xf numFmtId="3" fontId="8" fillId="0" borderId="73" xfId="81" applyNumberFormat="1" applyFont="1" applyBorder="1" applyAlignment="1">
      <alignment horizontal="center" shrinkToFit="1"/>
    </xf>
    <xf numFmtId="169" fontId="7" fillId="0" borderId="20" xfId="63" applyNumberFormat="1" applyFont="1" applyBorder="1" applyAlignment="1">
      <alignment horizontal="center"/>
    </xf>
    <xf numFmtId="169" fontId="7" fillId="0" borderId="22" xfId="63" applyNumberFormat="1" applyFont="1" applyBorder="1"/>
    <xf numFmtId="169" fontId="7" fillId="0" borderId="31" xfId="90" applyNumberFormat="1" applyFont="1" applyFill="1" applyBorder="1" applyAlignment="1"/>
    <xf numFmtId="169" fontId="21" fillId="33" borderId="25" xfId="90" applyNumberFormat="1" applyFont="1" applyFill="1" applyBorder="1" applyAlignment="1">
      <alignment horizontal="center"/>
    </xf>
    <xf numFmtId="3" fontId="7" fillId="33" borderId="27" xfId="63" applyNumberFormat="1" applyFont="1" applyFill="1" applyBorder="1"/>
    <xf numFmtId="186" fontId="8" fillId="0" borderId="73" xfId="81" applyNumberFormat="1" applyFont="1" applyBorder="1" applyAlignment="1">
      <alignment horizontal="center" shrinkToFit="1"/>
    </xf>
    <xf numFmtId="186" fontId="8" fillId="0" borderId="0" xfId="63" applyNumberFormat="1"/>
    <xf numFmtId="186" fontId="8" fillId="0" borderId="38" xfId="81" applyNumberFormat="1" applyFont="1" applyBorder="1" applyAlignment="1">
      <alignment horizontal="center" shrinkToFit="1"/>
    </xf>
    <xf numFmtId="169" fontId="12" fillId="0" borderId="13" xfId="90" applyNumberFormat="1" applyFont="1" applyFill="1" applyBorder="1" applyAlignment="1"/>
    <xf numFmtId="3" fontId="8" fillId="0" borderId="10" xfId="81" applyNumberFormat="1" applyFont="1" applyBorder="1" applyAlignment="1">
      <alignment horizontal="center" shrinkToFit="1"/>
    </xf>
    <xf numFmtId="3" fontId="8" fillId="0" borderId="69" xfId="81" applyNumberFormat="1" applyFont="1" applyBorder="1" applyAlignment="1">
      <alignment horizontal="center" shrinkToFit="1"/>
    </xf>
    <xf numFmtId="3" fontId="8" fillId="0" borderId="14" xfId="81" applyNumberFormat="1" applyFont="1" applyBorder="1" applyAlignment="1">
      <alignment horizontal="center" shrinkToFit="1"/>
    </xf>
    <xf numFmtId="3" fontId="8" fillId="0" borderId="10" xfId="63" applyNumberFormat="1" applyBorder="1" applyAlignment="1">
      <alignment horizontal="center"/>
    </xf>
    <xf numFmtId="3" fontId="8" fillId="0" borderId="69" xfId="63" applyNumberFormat="1" applyBorder="1" applyAlignment="1">
      <alignment horizontal="center"/>
    </xf>
    <xf numFmtId="169" fontId="12" fillId="0" borderId="21" xfId="90" applyNumberFormat="1" applyFont="1" applyFill="1" applyBorder="1" applyAlignment="1"/>
    <xf numFmtId="3" fontId="8" fillId="0" borderId="20" xfId="63" applyNumberFormat="1" applyBorder="1"/>
    <xf numFmtId="3" fontId="8" fillId="0" borderId="105" xfId="63" applyNumberFormat="1" applyBorder="1" applyAlignment="1">
      <alignment horizontal="center"/>
    </xf>
    <xf numFmtId="3" fontId="7" fillId="33" borderId="96" xfId="63" applyNumberFormat="1" applyFont="1" applyFill="1" applyBorder="1"/>
    <xf numFmtId="192" fontId="8" fillId="0" borderId="24" xfId="63" applyNumberFormat="1" applyFont="1" applyBorder="1" applyAlignment="1">
      <alignment horizontal="center"/>
    </xf>
    <xf numFmtId="169" fontId="14" fillId="0" borderId="0" xfId="63" applyNumberFormat="1" applyFont="1" applyFill="1" applyBorder="1" applyAlignment="1">
      <alignment horizontal="center" vertical="center" textRotation="90"/>
    </xf>
    <xf numFmtId="169" fontId="21" fillId="16" borderId="25" xfId="90" applyNumberFormat="1" applyFont="1" applyFill="1" applyBorder="1" applyAlignment="1">
      <alignment horizontal="center"/>
    </xf>
    <xf numFmtId="3" fontId="7" fillId="16" borderId="27" xfId="63" applyNumberFormat="1" applyFont="1" applyFill="1" applyBorder="1" applyAlignment="1">
      <alignment horizontal="center"/>
    </xf>
    <xf numFmtId="3" fontId="7" fillId="16" borderId="26" xfId="63" applyNumberFormat="1" applyFont="1" applyFill="1" applyBorder="1" applyAlignment="1">
      <alignment horizontal="center"/>
    </xf>
    <xf numFmtId="169" fontId="8" fillId="32" borderId="0" xfId="63" applyNumberFormat="1" applyFont="1" applyFill="1" applyBorder="1"/>
    <xf numFmtId="169" fontId="8" fillId="0" borderId="0" xfId="63" applyNumberFormat="1" applyFont="1" applyFill="1" applyBorder="1"/>
    <xf numFmtId="169" fontId="8" fillId="32" borderId="0" xfId="63" applyNumberFormat="1" applyFill="1"/>
    <xf numFmtId="169" fontId="86" fillId="16" borderId="25" xfId="63" applyNumberFormat="1" applyFont="1" applyFill="1" applyBorder="1" applyAlignment="1">
      <alignment horizontal="center"/>
    </xf>
    <xf numFmtId="169" fontId="12" fillId="0" borderId="0" xfId="90" applyNumberFormat="1" applyFont="1" applyFill="1" applyBorder="1" applyAlignment="1"/>
    <xf numFmtId="3" fontId="8" fillId="0" borderId="0" xfId="81" applyNumberFormat="1" applyFont="1" applyBorder="1" applyAlignment="1">
      <alignment horizontal="center" shrinkToFit="1"/>
    </xf>
    <xf numFmtId="192" fontId="8" fillId="0" borderId="56" xfId="63" applyNumberFormat="1" applyFont="1" applyBorder="1"/>
    <xf numFmtId="192" fontId="8" fillId="0" borderId="18" xfId="63" applyNumberFormat="1" applyFont="1" applyBorder="1"/>
    <xf numFmtId="169" fontId="8" fillId="0" borderId="0" xfId="63" applyNumberFormat="1" applyBorder="1"/>
    <xf numFmtId="169" fontId="8" fillId="0" borderId="10" xfId="63" applyNumberFormat="1" applyFont="1" applyBorder="1" applyAlignment="1">
      <alignment horizontal="center"/>
    </xf>
    <xf numFmtId="3" fontId="8" fillId="0" borderId="0" xfId="65" applyNumberFormat="1"/>
    <xf numFmtId="169" fontId="8" fillId="0" borderId="0" xfId="65" applyNumberFormat="1"/>
    <xf numFmtId="171" fontId="8" fillId="0" borderId="0" xfId="65" applyNumberFormat="1"/>
    <xf numFmtId="169" fontId="8" fillId="0" borderId="0" xfId="65" applyNumberFormat="1" applyAlignment="1">
      <alignment horizontal="center"/>
    </xf>
    <xf numFmtId="1" fontId="8" fillId="0" borderId="0" xfId="65" applyNumberFormat="1"/>
    <xf numFmtId="3" fontId="30" fillId="34" borderId="27" xfId="65" applyNumberFormat="1" applyFont="1" applyFill="1" applyBorder="1" applyAlignment="1">
      <alignment horizontal="center"/>
    </xf>
    <xf numFmtId="3" fontId="10" fillId="25" borderId="27" xfId="89" applyNumberFormat="1" applyFont="1" applyFill="1" applyBorder="1" applyAlignment="1">
      <alignment horizontal="center"/>
    </xf>
    <xf numFmtId="171" fontId="10" fillId="25" borderId="26" xfId="89" applyNumberFormat="1" applyFont="1" applyFill="1" applyBorder="1" applyAlignment="1"/>
    <xf numFmtId="169" fontId="8" fillId="0" borderId="0" xfId="65" applyNumberFormat="1" applyAlignment="1"/>
    <xf numFmtId="3" fontId="7" fillId="26" borderId="27" xfId="65" applyNumberFormat="1" applyFont="1" applyFill="1" applyBorder="1" applyAlignment="1">
      <alignment horizontal="center"/>
    </xf>
    <xf numFmtId="169" fontId="8" fillId="26" borderId="34" xfId="65" applyNumberFormat="1" applyFill="1" applyBorder="1"/>
    <xf numFmtId="169" fontId="8" fillId="35" borderId="25" xfId="65" applyNumberFormat="1" applyFill="1" applyBorder="1"/>
    <xf numFmtId="169" fontId="8" fillId="35" borderId="8" xfId="65" applyNumberFormat="1" applyFill="1" applyBorder="1"/>
    <xf numFmtId="169" fontId="8" fillId="35" borderId="26" xfId="65" applyNumberFormat="1" applyFill="1" applyBorder="1"/>
    <xf numFmtId="169" fontId="19" fillId="30" borderId="30" xfId="65" applyNumberFormat="1" applyFont="1" applyFill="1" applyBorder="1" applyAlignment="1">
      <alignment horizontal="center" wrapText="1"/>
    </xf>
    <xf numFmtId="169" fontId="7" fillId="30" borderId="56" xfId="65" applyNumberFormat="1" applyFont="1" applyFill="1" applyBorder="1" applyAlignment="1">
      <alignment horizontal="center"/>
    </xf>
    <xf numFmtId="169" fontId="7" fillId="30" borderId="56" xfId="65" applyNumberFormat="1" applyFont="1" applyFill="1" applyBorder="1" applyAlignment="1">
      <alignment horizontal="center" wrapText="1"/>
    </xf>
    <xf numFmtId="169" fontId="7" fillId="30" borderId="18" xfId="65" applyNumberFormat="1" applyFont="1" applyFill="1" applyBorder="1" applyAlignment="1">
      <alignment horizontal="center" wrapText="1"/>
    </xf>
    <xf numFmtId="169" fontId="12" fillId="26" borderId="34" xfId="89" applyNumberFormat="1" applyFont="1" applyFill="1" applyBorder="1" applyAlignment="1">
      <alignment horizontal="center"/>
    </xf>
    <xf numFmtId="169" fontId="7" fillId="26" borderId="35" xfId="89" applyNumberFormat="1" applyFont="1" applyFill="1" applyBorder="1" applyAlignment="1">
      <alignment horizontal="center"/>
    </xf>
    <xf numFmtId="171" fontId="7" fillId="26" borderId="32" xfId="89" applyNumberFormat="1" applyFont="1" applyFill="1" applyBorder="1" applyAlignment="1">
      <alignment horizontal="center"/>
    </xf>
    <xf numFmtId="169" fontId="7" fillId="26" borderId="108" xfId="89" applyNumberFormat="1" applyFont="1" applyFill="1" applyBorder="1" applyAlignment="1">
      <alignment horizontal="center"/>
    </xf>
    <xf numFmtId="171" fontId="7" fillId="26" borderId="33" xfId="89" applyNumberFormat="1" applyFont="1" applyFill="1" applyBorder="1" applyAlignment="1">
      <alignment horizontal="center"/>
    </xf>
    <xf numFmtId="169" fontId="7" fillId="36" borderId="35" xfId="89" applyNumberFormat="1" applyFont="1" applyFill="1" applyBorder="1" applyAlignment="1">
      <alignment horizontal="center"/>
    </xf>
    <xf numFmtId="169" fontId="7" fillId="36" borderId="32" xfId="89" applyNumberFormat="1" applyFont="1" applyFill="1" applyBorder="1" applyAlignment="1">
      <alignment horizontal="center"/>
    </xf>
    <xf numFmtId="169" fontId="7" fillId="36" borderId="108" xfId="89" applyNumberFormat="1" applyFont="1" applyFill="1" applyBorder="1" applyAlignment="1">
      <alignment horizontal="center"/>
    </xf>
    <xf numFmtId="169" fontId="7" fillId="36" borderId="33" xfId="89" applyNumberFormat="1" applyFont="1" applyFill="1" applyBorder="1" applyAlignment="1">
      <alignment horizontal="center"/>
    </xf>
    <xf numFmtId="1" fontId="13" fillId="25" borderId="35" xfId="65" quotePrefix="1" applyNumberFormat="1" applyFont="1" applyFill="1" applyBorder="1" applyAlignment="1">
      <alignment horizontal="center"/>
    </xf>
    <xf numFmtId="3" fontId="13" fillId="25" borderId="33" xfId="65" quotePrefix="1" applyNumberFormat="1" applyFont="1" applyFill="1" applyBorder="1" applyAlignment="1">
      <alignment horizontal="center"/>
    </xf>
    <xf numFmtId="169" fontId="8" fillId="16" borderId="19" xfId="65" applyNumberFormat="1" applyFill="1" applyBorder="1" applyAlignment="1">
      <alignment horizontal="center"/>
    </xf>
    <xf numFmtId="169" fontId="8" fillId="16" borderId="28" xfId="65" applyNumberFormat="1" applyFill="1" applyBorder="1" applyAlignment="1">
      <alignment horizontal="center"/>
    </xf>
    <xf numFmtId="169" fontId="8" fillId="16" borderId="29" xfId="65" applyNumberFormat="1" applyFill="1" applyBorder="1" applyAlignment="1">
      <alignment horizontal="center"/>
    </xf>
    <xf numFmtId="169" fontId="7" fillId="28" borderId="30" xfId="65" applyNumberFormat="1" applyFont="1" applyFill="1" applyBorder="1" applyAlignment="1">
      <alignment horizontal="center"/>
    </xf>
    <xf numFmtId="169" fontId="8" fillId="0" borderId="13" xfId="65" applyNumberFormat="1" applyBorder="1"/>
    <xf numFmtId="169" fontId="12" fillId="0" borderId="10" xfId="89" applyNumberFormat="1" applyFont="1" applyFill="1" applyBorder="1" applyAlignment="1"/>
    <xf numFmtId="169" fontId="8" fillId="0" borderId="10" xfId="65" applyNumberFormat="1" applyBorder="1"/>
    <xf numFmtId="169" fontId="8" fillId="0" borderId="14" xfId="65" applyNumberFormat="1" applyBorder="1"/>
    <xf numFmtId="169" fontId="12" fillId="29" borderId="30" xfId="89" applyNumberFormat="1" applyFont="1" applyFill="1" applyBorder="1" applyAlignment="1">
      <alignment vertical="justify"/>
    </xf>
    <xf numFmtId="193" fontId="7" fillId="30" borderId="56" xfId="89" applyNumberFormat="1" applyFont="1" applyFill="1" applyBorder="1" applyAlignment="1">
      <alignment horizontal="center" vertical="center"/>
    </xf>
    <xf numFmtId="167" fontId="7" fillId="0" borderId="56" xfId="89" applyNumberFormat="1" applyFont="1" applyFill="1" applyBorder="1" applyAlignment="1">
      <alignment horizontal="center" vertical="center"/>
    </xf>
    <xf numFmtId="3" fontId="7" fillId="30" borderId="56" xfId="89" applyNumberFormat="1" applyFont="1" applyFill="1" applyBorder="1" applyAlignment="1">
      <alignment horizontal="center" vertical="center"/>
    </xf>
    <xf numFmtId="169" fontId="7" fillId="0" borderId="56" xfId="89" applyNumberFormat="1" applyFont="1" applyFill="1" applyBorder="1" applyAlignment="1">
      <alignment vertical="center"/>
    </xf>
    <xf numFmtId="169" fontId="14" fillId="0" borderId="56" xfId="89" applyNumberFormat="1" applyFont="1" applyFill="1" applyBorder="1" applyAlignment="1">
      <alignment vertical="center"/>
    </xf>
    <xf numFmtId="1" fontId="7" fillId="0" borderId="56" xfId="89" applyNumberFormat="1" applyFont="1" applyFill="1" applyBorder="1" applyAlignment="1">
      <alignment vertical="center"/>
    </xf>
    <xf numFmtId="3" fontId="7" fillId="0" borderId="18" xfId="89" applyNumberFormat="1" applyFont="1" applyFill="1" applyBorder="1" applyAlignment="1">
      <alignment vertical="center"/>
    </xf>
    <xf numFmtId="169" fontId="8" fillId="0" borderId="31" xfId="65" applyNumberFormat="1" applyBorder="1"/>
    <xf numFmtId="169" fontId="8" fillId="0" borderId="23" xfId="65" applyNumberFormat="1" applyBorder="1"/>
    <xf numFmtId="169" fontId="8" fillId="0" borderId="24" xfId="65" applyNumberFormat="1" applyBorder="1"/>
    <xf numFmtId="1" fontId="7" fillId="28" borderId="13" xfId="65" applyNumberFormat="1" applyFont="1" applyFill="1" applyBorder="1" applyAlignment="1">
      <alignment horizontal="center"/>
    </xf>
    <xf numFmtId="169" fontId="8" fillId="0" borderId="15" xfId="65" applyNumberFormat="1" applyBorder="1"/>
    <xf numFmtId="169" fontId="12" fillId="0" borderId="16" xfId="89" applyNumberFormat="1" applyFont="1" applyFill="1" applyBorder="1" applyAlignment="1"/>
    <xf numFmtId="169" fontId="8" fillId="0" borderId="16" xfId="65" applyNumberFormat="1" applyBorder="1"/>
    <xf numFmtId="169" fontId="8" fillId="0" borderId="17" xfId="65" applyNumberFormat="1" applyBorder="1"/>
    <xf numFmtId="169" fontId="12" fillId="29" borderId="13" xfId="89" applyNumberFormat="1" applyFont="1" applyFill="1" applyBorder="1" applyAlignment="1">
      <alignment vertical="justify"/>
    </xf>
    <xf numFmtId="193" fontId="7" fillId="30" borderId="10" xfId="89" applyNumberFormat="1" applyFont="1" applyFill="1" applyBorder="1" applyAlignment="1">
      <alignment horizontal="center" vertical="center"/>
    </xf>
    <xf numFmtId="167" fontId="7" fillId="0" borderId="10" xfId="89" applyNumberFormat="1" applyFont="1" applyFill="1" applyBorder="1" applyAlignment="1">
      <alignment horizontal="center" vertical="center"/>
    </xf>
    <xf numFmtId="3" fontId="7" fillId="30" borderId="10" xfId="89" applyNumberFormat="1" applyFont="1" applyFill="1" applyBorder="1" applyAlignment="1">
      <alignment horizontal="center" vertical="center"/>
    </xf>
    <xf numFmtId="169" fontId="7" fillId="0" borderId="10" xfId="89" applyNumberFormat="1" applyFont="1" applyFill="1" applyBorder="1" applyAlignment="1">
      <alignment vertical="center"/>
    </xf>
    <xf numFmtId="169" fontId="14" fillId="0" borderId="10" xfId="89" applyNumberFormat="1" applyFont="1" applyFill="1" applyBorder="1" applyAlignment="1">
      <alignment vertical="center"/>
    </xf>
    <xf numFmtId="1" fontId="7" fillId="0" borderId="10" xfId="89" applyNumberFormat="1" applyFont="1" applyFill="1" applyBorder="1" applyAlignment="1">
      <alignment vertical="center"/>
    </xf>
    <xf numFmtId="3" fontId="7" fillId="0" borderId="14" xfId="89" applyNumberFormat="1" applyFont="1" applyFill="1" applyBorder="1" applyAlignment="1">
      <alignment vertical="center"/>
    </xf>
    <xf numFmtId="167" fontId="8" fillId="0" borderId="13" xfId="65" applyNumberFormat="1" applyFont="1" applyBorder="1"/>
    <xf numFmtId="167" fontId="8" fillId="0" borderId="10" xfId="65" applyNumberFormat="1" applyFont="1" applyBorder="1"/>
    <xf numFmtId="167" fontId="8" fillId="0" borderId="14" xfId="65" applyNumberFormat="1" applyFont="1" applyBorder="1"/>
    <xf numFmtId="169" fontId="7" fillId="28" borderId="15" xfId="65" applyNumberFormat="1" applyFont="1" applyFill="1" applyBorder="1" applyAlignment="1">
      <alignment horizontal="center"/>
    </xf>
    <xf numFmtId="169" fontId="22" fillId="37" borderId="25" xfId="65" applyNumberFormat="1" applyFont="1" applyFill="1" applyBorder="1" applyAlignment="1"/>
    <xf numFmtId="169" fontId="22" fillId="37" borderId="8" xfId="65" applyNumberFormat="1" applyFont="1" applyFill="1" applyBorder="1" applyAlignment="1"/>
    <xf numFmtId="169" fontId="6" fillId="37" borderId="54" xfId="65" applyNumberFormat="1" applyFont="1" applyFill="1" applyBorder="1" applyAlignment="1">
      <alignment horizontal="left"/>
    </xf>
    <xf numFmtId="169" fontId="5" fillId="37" borderId="28" xfId="65" applyNumberFormat="1" applyFont="1" applyFill="1" applyBorder="1" applyAlignment="1">
      <alignment horizontal="right"/>
    </xf>
    <xf numFmtId="3" fontId="5" fillId="37" borderId="29" xfId="65" applyNumberFormat="1" applyFont="1" applyFill="1" applyBorder="1" applyAlignment="1"/>
    <xf numFmtId="167" fontId="8" fillId="0" borderId="0" xfId="65" applyNumberFormat="1" applyFont="1"/>
    <xf numFmtId="169" fontId="16" fillId="0" borderId="0" xfId="80" applyNumberFormat="1" applyFont="1" applyAlignment="1"/>
    <xf numFmtId="169" fontId="12" fillId="27" borderId="13" xfId="89" applyNumberFormat="1" applyFont="1" applyFill="1" applyBorder="1" applyAlignment="1">
      <alignment vertical="justify"/>
    </xf>
    <xf numFmtId="169" fontId="7" fillId="36" borderId="56" xfId="65" applyNumberFormat="1" applyFont="1" applyFill="1" applyBorder="1"/>
    <xf numFmtId="9" fontId="7" fillId="36" borderId="18" xfId="65" applyNumberFormat="1" applyFont="1" applyFill="1" applyBorder="1" applyAlignment="1">
      <alignment horizontal="center"/>
    </xf>
    <xf numFmtId="167" fontId="7" fillId="0" borderId="10" xfId="65" applyNumberFormat="1" applyFont="1" applyBorder="1" applyAlignment="1">
      <alignment horizontal="center"/>
    </xf>
    <xf numFmtId="169" fontId="7" fillId="36" borderId="10" xfId="65" applyNumberFormat="1" applyFont="1" applyFill="1" applyBorder="1"/>
    <xf numFmtId="9" fontId="7" fillId="36" borderId="14" xfId="65" applyNumberFormat="1" applyFont="1" applyFill="1" applyBorder="1" applyAlignment="1">
      <alignment horizontal="center"/>
    </xf>
    <xf numFmtId="169" fontId="7" fillId="29" borderId="10" xfId="65" applyNumberFormat="1" applyFont="1" applyFill="1" applyBorder="1"/>
    <xf numFmtId="9" fontId="7" fillId="29" borderId="14" xfId="65" applyNumberFormat="1" applyFont="1" applyFill="1" applyBorder="1" applyAlignment="1">
      <alignment horizontal="center"/>
    </xf>
    <xf numFmtId="169" fontId="7" fillId="29" borderId="16" xfId="65" applyNumberFormat="1" applyFont="1" applyFill="1" applyBorder="1"/>
    <xf numFmtId="9" fontId="7" fillId="29" borderId="17" xfId="65" applyNumberFormat="1" applyFont="1" applyFill="1" applyBorder="1" applyAlignment="1">
      <alignment horizontal="center"/>
    </xf>
    <xf numFmtId="169" fontId="12" fillId="28" borderId="13" xfId="89" applyNumberFormat="1" applyFont="1" applyFill="1" applyBorder="1" applyAlignment="1"/>
    <xf numFmtId="167" fontId="8" fillId="0" borderId="13" xfId="65" applyNumberFormat="1" applyFont="1" applyBorder="1" applyAlignment="1">
      <alignment vertical="center"/>
    </xf>
    <xf numFmtId="167" fontId="8" fillId="0" borderId="10" xfId="65" applyNumberFormat="1" applyFont="1" applyBorder="1" applyAlignment="1">
      <alignment vertical="center"/>
    </xf>
    <xf numFmtId="167" fontId="8" fillId="0" borderId="14" xfId="65" applyNumberFormat="1" applyFont="1" applyBorder="1" applyAlignment="1">
      <alignment vertical="center"/>
    </xf>
    <xf numFmtId="169" fontId="12" fillId="30" borderId="30" xfId="89" applyNumberFormat="1" applyFont="1" applyFill="1" applyBorder="1" applyAlignment="1"/>
    <xf numFmtId="169" fontId="7" fillId="30" borderId="56" xfId="65" applyNumberFormat="1" applyFont="1" applyFill="1" applyBorder="1"/>
    <xf numFmtId="9" fontId="7" fillId="30" borderId="18" xfId="65" applyNumberFormat="1" applyFont="1" applyFill="1" applyBorder="1" applyAlignment="1">
      <alignment horizontal="center"/>
    </xf>
    <xf numFmtId="169" fontId="12" fillId="30" borderId="13" xfId="89" applyNumberFormat="1" applyFont="1" applyFill="1" applyBorder="1" applyAlignment="1"/>
    <xf numFmtId="169" fontId="7" fillId="30" borderId="10" xfId="65" applyNumberFormat="1" applyFont="1" applyFill="1" applyBorder="1"/>
    <xf numFmtId="9" fontId="7" fillId="30" borderId="14" xfId="65" applyNumberFormat="1" applyFont="1" applyFill="1" applyBorder="1" applyAlignment="1">
      <alignment horizontal="center"/>
    </xf>
    <xf numFmtId="169" fontId="12" fillId="28" borderId="15" xfId="89" applyNumberFormat="1" applyFont="1" applyFill="1" applyBorder="1" applyAlignment="1"/>
    <xf numFmtId="193" fontId="7" fillId="30" borderId="16" xfId="89" applyNumberFormat="1" applyFont="1" applyFill="1" applyBorder="1" applyAlignment="1">
      <alignment horizontal="center" vertical="center"/>
    </xf>
    <xf numFmtId="167" fontId="7" fillId="0" borderId="16" xfId="89" applyNumberFormat="1" applyFont="1" applyFill="1" applyBorder="1" applyAlignment="1">
      <alignment horizontal="center" vertical="center"/>
    </xf>
    <xf numFmtId="3" fontId="7" fillId="30" borderId="16" xfId="89" applyNumberFormat="1" applyFont="1" applyFill="1" applyBorder="1" applyAlignment="1">
      <alignment horizontal="center" vertical="center"/>
    </xf>
    <xf numFmtId="169" fontId="7" fillId="0" borderId="16" xfId="89" applyNumberFormat="1" applyFont="1" applyFill="1" applyBorder="1" applyAlignment="1">
      <alignment vertical="center"/>
    </xf>
    <xf numFmtId="169" fontId="14" fillId="0" borderId="16" xfId="89" applyNumberFormat="1" applyFont="1" applyFill="1" applyBorder="1" applyAlignment="1">
      <alignment vertical="center"/>
    </xf>
    <xf numFmtId="1" fontId="7" fillId="0" borderId="16" xfId="89" applyNumberFormat="1" applyFont="1" applyFill="1" applyBorder="1" applyAlignment="1">
      <alignment vertical="center"/>
    </xf>
    <xf numFmtId="3" fontId="7" fillId="0" borderId="17" xfId="89" applyNumberFormat="1" applyFont="1" applyFill="1" applyBorder="1" applyAlignment="1">
      <alignment vertical="center"/>
    </xf>
    <xf numFmtId="167" fontId="8" fillId="0" borderId="21" xfId="65" applyNumberFormat="1" applyFont="1" applyBorder="1"/>
    <xf numFmtId="167" fontId="8" fillId="0" borderId="20" xfId="65" applyNumberFormat="1" applyFont="1" applyBorder="1"/>
    <xf numFmtId="167" fontId="8" fillId="0" borderId="22" xfId="65" applyNumberFormat="1" applyFont="1" applyBorder="1"/>
    <xf numFmtId="169" fontId="12" fillId="30" borderId="15" xfId="89" applyNumberFormat="1" applyFont="1" applyFill="1" applyBorder="1" applyAlignment="1"/>
    <xf numFmtId="169" fontId="7" fillId="30" borderId="16" xfId="65" applyNumberFormat="1" applyFont="1" applyFill="1" applyBorder="1"/>
    <xf numFmtId="9" fontId="7" fillId="30" borderId="17" xfId="65" applyNumberFormat="1" applyFont="1" applyFill="1" applyBorder="1" applyAlignment="1">
      <alignment horizontal="center"/>
    </xf>
    <xf numFmtId="169" fontId="21" fillId="29" borderId="40" xfId="89" applyNumberFormat="1" applyFont="1" applyFill="1" applyBorder="1" applyAlignment="1">
      <alignment horizontal="center"/>
    </xf>
    <xf numFmtId="3" fontId="7" fillId="29" borderId="49" xfId="89" applyNumberFormat="1" applyFont="1" applyFill="1" applyBorder="1" applyAlignment="1">
      <alignment vertical="center"/>
    </xf>
    <xf numFmtId="171" fontId="14" fillId="29" borderId="57" xfId="89" applyNumberFormat="1" applyFont="1" applyFill="1" applyBorder="1" applyAlignment="1">
      <alignment vertical="center"/>
    </xf>
    <xf numFmtId="3" fontId="7" fillId="29" borderId="57" xfId="89" applyNumberFormat="1" applyFont="1" applyFill="1" applyBorder="1" applyAlignment="1">
      <alignment vertical="center"/>
    </xf>
    <xf numFmtId="167" fontId="14" fillId="29" borderId="39" xfId="89" applyNumberFormat="1" applyFont="1" applyFill="1" applyBorder="1" applyAlignment="1">
      <alignment vertical="center"/>
    </xf>
    <xf numFmtId="169" fontId="7" fillId="29" borderId="49" xfId="89" applyNumberFormat="1" applyFont="1" applyFill="1" applyBorder="1" applyAlignment="1">
      <alignment vertical="center"/>
    </xf>
    <xf numFmtId="169" fontId="14" fillId="29" borderId="57" xfId="89" applyNumberFormat="1" applyFont="1" applyFill="1" applyBorder="1" applyAlignment="1">
      <alignment vertical="center"/>
    </xf>
    <xf numFmtId="169" fontId="7" fillId="29" borderId="57" xfId="89" applyNumberFormat="1" applyFont="1" applyFill="1" applyBorder="1" applyAlignment="1">
      <alignment vertical="center"/>
    </xf>
    <xf numFmtId="169" fontId="7" fillId="29" borderId="39" xfId="89" applyNumberFormat="1" applyFont="1" applyFill="1" applyBorder="1" applyAlignment="1">
      <alignment vertical="center"/>
    </xf>
    <xf numFmtId="1" fontId="17" fillId="29" borderId="39" xfId="89" applyNumberFormat="1" applyFont="1" applyFill="1" applyBorder="1" applyAlignment="1">
      <alignment vertical="center"/>
    </xf>
    <xf numFmtId="3" fontId="17" fillId="29" borderId="39" xfId="89" applyNumberFormat="1" applyFont="1" applyFill="1" applyBorder="1" applyAlignment="1">
      <alignment vertical="center"/>
    </xf>
    <xf numFmtId="167" fontId="8" fillId="25" borderId="19" xfId="65" applyNumberFormat="1" applyFont="1" applyFill="1" applyBorder="1"/>
    <xf numFmtId="167" fontId="8" fillId="25" borderId="28" xfId="65" applyNumberFormat="1" applyFont="1" applyFill="1" applyBorder="1"/>
    <xf numFmtId="167" fontId="8" fillId="25" borderId="29" xfId="65" applyNumberFormat="1" applyFont="1" applyFill="1" applyBorder="1"/>
    <xf numFmtId="169" fontId="18" fillId="0" borderId="0" xfId="65" applyNumberFormat="1" applyFont="1"/>
    <xf numFmtId="3" fontId="18" fillId="0" borderId="0" xfId="65" applyNumberFormat="1" applyFont="1"/>
    <xf numFmtId="171" fontId="18" fillId="0" borderId="0" xfId="65" applyNumberFormat="1" applyFont="1"/>
    <xf numFmtId="1" fontId="18" fillId="0" borderId="0" xfId="65" applyNumberFormat="1" applyFont="1"/>
    <xf numFmtId="3" fontId="14" fillId="29" borderId="27" xfId="89" applyNumberFormat="1" applyFont="1" applyFill="1" applyBorder="1" applyAlignment="1">
      <alignment vertical="center"/>
    </xf>
    <xf numFmtId="169" fontId="14" fillId="23" borderId="0" xfId="65" applyNumberFormat="1" applyFont="1" applyFill="1" applyBorder="1" applyAlignment="1">
      <alignment horizontal="center" vertical="center" textRotation="90" wrapText="1"/>
    </xf>
    <xf numFmtId="169" fontId="18" fillId="26" borderId="99" xfId="65" applyNumberFormat="1" applyFont="1" applyFill="1" applyBorder="1"/>
    <xf numFmtId="169" fontId="12" fillId="26" borderId="99" xfId="89" applyNumberFormat="1" applyFont="1" applyFill="1" applyBorder="1" applyAlignment="1">
      <alignment horizontal="center"/>
    </xf>
    <xf numFmtId="3" fontId="7" fillId="26" borderId="32" xfId="89" applyNumberFormat="1" applyFont="1" applyFill="1" applyBorder="1" applyAlignment="1">
      <alignment horizontal="center"/>
    </xf>
    <xf numFmtId="3" fontId="7" fillId="26" borderId="108" xfId="89" applyNumberFormat="1" applyFont="1" applyFill="1" applyBorder="1" applyAlignment="1">
      <alignment horizontal="center"/>
    </xf>
    <xf numFmtId="1" fontId="13" fillId="25" borderId="62" xfId="65" quotePrefix="1" applyNumberFormat="1" applyFont="1" applyFill="1" applyBorder="1" applyAlignment="1">
      <alignment horizontal="center"/>
    </xf>
    <xf numFmtId="3" fontId="7" fillId="0" borderId="10" xfId="89" applyNumberFormat="1" applyFont="1" applyFill="1" applyBorder="1" applyAlignment="1">
      <alignment horizontal="center" vertical="center"/>
    </xf>
    <xf numFmtId="9" fontId="7" fillId="23" borderId="10" xfId="89" applyNumberFormat="1" applyFont="1" applyFill="1" applyBorder="1" applyAlignment="1">
      <alignment horizontal="center" vertical="center"/>
    </xf>
    <xf numFmtId="3" fontId="7" fillId="0" borderId="10" xfId="89" applyNumberFormat="1" applyFont="1" applyFill="1" applyBorder="1" applyAlignment="1">
      <alignment vertical="center"/>
    </xf>
    <xf numFmtId="167" fontId="8" fillId="0" borderId="31" xfId="65" applyNumberFormat="1" applyFont="1" applyBorder="1"/>
    <xf numFmtId="167" fontId="8" fillId="0" borderId="23" xfId="65" applyNumberFormat="1" applyFont="1" applyBorder="1"/>
    <xf numFmtId="167" fontId="8" fillId="0" borderId="24" xfId="65" applyNumberFormat="1" applyFont="1" applyBorder="1"/>
    <xf numFmtId="169" fontId="12" fillId="0" borderId="20" xfId="89" applyNumberFormat="1" applyFont="1" applyFill="1" applyBorder="1" applyAlignment="1"/>
    <xf numFmtId="167" fontId="7" fillId="0" borderId="20" xfId="89" applyNumberFormat="1" applyFont="1" applyFill="1" applyBorder="1" applyAlignment="1">
      <alignment horizontal="center" vertical="center"/>
    </xf>
    <xf numFmtId="169" fontId="7" fillId="0" borderId="20" xfId="89" applyNumberFormat="1" applyFont="1" applyFill="1" applyBorder="1" applyAlignment="1">
      <alignment vertical="center"/>
    </xf>
    <xf numFmtId="1" fontId="7" fillId="0" borderId="20" xfId="89" applyNumberFormat="1" applyFont="1" applyFill="1" applyBorder="1" applyAlignment="1">
      <alignment vertical="center"/>
    </xf>
    <xf numFmtId="3" fontId="7" fillId="0" borderId="20" xfId="89" applyNumberFormat="1" applyFont="1" applyFill="1" applyBorder="1" applyAlignment="1">
      <alignment vertical="center"/>
    </xf>
    <xf numFmtId="3" fontId="7" fillId="0" borderId="0" xfId="65" applyNumberFormat="1" applyFont="1" applyFill="1" applyBorder="1" applyAlignment="1">
      <alignment vertical="center" textRotation="90"/>
    </xf>
    <xf numFmtId="169" fontId="14" fillId="0" borderId="0" xfId="65" applyNumberFormat="1" applyFont="1" applyFill="1" applyBorder="1" applyAlignment="1">
      <alignment horizontal="center" vertical="center" textRotation="90"/>
    </xf>
    <xf numFmtId="169" fontId="21" fillId="29" borderId="19" xfId="89" applyNumberFormat="1" applyFont="1" applyFill="1" applyBorder="1" applyAlignment="1">
      <alignment horizontal="center"/>
    </xf>
    <xf numFmtId="3" fontId="7" fillId="29" borderId="28" xfId="89" applyNumberFormat="1" applyFont="1" applyFill="1" applyBorder="1" applyAlignment="1">
      <alignment vertical="center"/>
    </xf>
    <xf numFmtId="171" fontId="7" fillId="29" borderId="28" xfId="89" applyNumberFormat="1" applyFont="1" applyFill="1" applyBorder="1" applyAlignment="1">
      <alignment vertical="center"/>
    </xf>
    <xf numFmtId="167" fontId="14" fillId="29" borderId="28" xfId="89" applyNumberFormat="1" applyFont="1" applyFill="1" applyBorder="1" applyAlignment="1">
      <alignment vertical="center"/>
    </xf>
    <xf numFmtId="169" fontId="7" fillId="29" borderId="28" xfId="89" applyNumberFormat="1" applyFont="1" applyFill="1" applyBorder="1" applyAlignment="1">
      <alignment vertical="center"/>
    </xf>
    <xf numFmtId="1" fontId="7" fillId="29" borderId="28" xfId="89" applyNumberFormat="1" applyFont="1" applyFill="1" applyBorder="1" applyAlignment="1">
      <alignment vertical="center"/>
    </xf>
    <xf numFmtId="3" fontId="7" fillId="29" borderId="29" xfId="89" applyNumberFormat="1" applyFont="1" applyFill="1" applyBorder="1" applyAlignment="1">
      <alignment vertical="center"/>
    </xf>
    <xf numFmtId="169" fontId="12" fillId="0" borderId="0" xfId="89" applyNumberFormat="1" applyFont="1" applyFill="1" applyBorder="1" applyAlignment="1"/>
    <xf numFmtId="3" fontId="7" fillId="0" borderId="0" xfId="89" applyNumberFormat="1" applyFont="1" applyFill="1" applyBorder="1" applyAlignment="1">
      <alignment vertical="center"/>
    </xf>
    <xf numFmtId="171" fontId="7" fillId="0" borderId="0" xfId="89" applyNumberFormat="1" applyFont="1" applyFill="1" applyBorder="1" applyAlignment="1">
      <alignment vertical="center"/>
    </xf>
    <xf numFmtId="169" fontId="7" fillId="0" borderId="0" xfId="89" applyNumberFormat="1" applyFont="1" applyFill="1" applyBorder="1" applyAlignment="1">
      <alignment vertical="center"/>
    </xf>
    <xf numFmtId="1" fontId="7" fillId="0" borderId="0" xfId="89" applyNumberFormat="1" applyFont="1" applyFill="1" applyBorder="1" applyAlignment="1">
      <alignment vertical="center"/>
    </xf>
    <xf numFmtId="3" fontId="7" fillId="26" borderId="35" xfId="89" applyNumberFormat="1" applyFont="1" applyFill="1" applyBorder="1" applyAlignment="1">
      <alignment horizontal="center"/>
    </xf>
    <xf numFmtId="169" fontId="7" fillId="36" borderId="62" xfId="89" applyNumberFormat="1" applyFont="1" applyFill="1" applyBorder="1" applyAlignment="1">
      <alignment horizontal="center"/>
    </xf>
    <xf numFmtId="169" fontId="7" fillId="29" borderId="50" xfId="89" applyNumberFormat="1" applyFont="1" applyFill="1" applyBorder="1" applyAlignment="1"/>
    <xf numFmtId="3" fontId="7" fillId="0" borderId="64" xfId="89" applyNumberFormat="1" applyFont="1" applyFill="1" applyBorder="1" applyAlignment="1">
      <alignment vertical="center"/>
    </xf>
    <xf numFmtId="1" fontId="7" fillId="0" borderId="64" xfId="89" applyNumberFormat="1" applyFont="1" applyFill="1" applyBorder="1" applyAlignment="1">
      <alignment vertical="center"/>
    </xf>
    <xf numFmtId="167" fontId="8" fillId="0" borderId="30" xfId="65" applyNumberFormat="1" applyFont="1" applyBorder="1" applyAlignment="1">
      <alignment horizontal="center"/>
    </xf>
    <xf numFmtId="167" fontId="8" fillId="0" borderId="56" xfId="65" applyNumberFormat="1" applyFont="1" applyBorder="1" applyAlignment="1">
      <alignment horizontal="center"/>
    </xf>
    <xf numFmtId="167" fontId="8" fillId="0" borderId="18" xfId="65" applyNumberFormat="1" applyFont="1" applyBorder="1" applyAlignment="1">
      <alignment horizontal="center"/>
    </xf>
    <xf numFmtId="169" fontId="7" fillId="29" borderId="37" xfId="89" applyNumberFormat="1" applyFont="1" applyFill="1" applyBorder="1" applyAlignment="1"/>
    <xf numFmtId="167" fontId="8" fillId="0" borderId="13" xfId="65" applyNumberFormat="1" applyFont="1" applyBorder="1" applyAlignment="1">
      <alignment horizontal="center"/>
    </xf>
    <xf numFmtId="167" fontId="8" fillId="0" borderId="10" xfId="65" applyNumberFormat="1" applyFont="1" applyBorder="1" applyAlignment="1">
      <alignment horizontal="center"/>
    </xf>
    <xf numFmtId="167" fontId="8" fillId="0" borderId="14" xfId="65" applyNumberFormat="1" applyFont="1" applyBorder="1" applyAlignment="1">
      <alignment horizontal="center"/>
    </xf>
    <xf numFmtId="169" fontId="8" fillId="0" borderId="0" xfId="65" applyNumberFormat="1" applyBorder="1"/>
    <xf numFmtId="169" fontId="7" fillId="0" borderId="0" xfId="65" applyNumberFormat="1" applyFont="1" applyFill="1" applyBorder="1" applyAlignment="1">
      <alignment horizontal="center"/>
    </xf>
    <xf numFmtId="169" fontId="8" fillId="0" borderId="0" xfId="65" applyNumberFormat="1" applyFill="1" applyBorder="1"/>
    <xf numFmtId="169" fontId="7" fillId="29" borderId="43" xfId="89" applyNumberFormat="1" applyFont="1" applyFill="1" applyBorder="1" applyAlignment="1"/>
    <xf numFmtId="3" fontId="7" fillId="0" borderId="20" xfId="89" applyNumberFormat="1" applyFont="1" applyFill="1" applyBorder="1" applyAlignment="1">
      <alignment horizontal="center" vertical="center"/>
    </xf>
    <xf numFmtId="167" fontId="8" fillId="0" borderId="21" xfId="65" applyNumberFormat="1" applyFont="1" applyBorder="1" applyAlignment="1">
      <alignment horizontal="center"/>
    </xf>
    <xf numFmtId="167" fontId="8" fillId="0" borderId="20" xfId="65" applyNumberFormat="1" applyFont="1" applyBorder="1" applyAlignment="1">
      <alignment horizontal="center"/>
    </xf>
    <xf numFmtId="167" fontId="8" fillId="0" borderId="22" xfId="65" applyNumberFormat="1" applyFont="1" applyBorder="1" applyAlignment="1">
      <alignment horizontal="center"/>
    </xf>
    <xf numFmtId="169" fontId="7" fillId="27" borderId="107" xfId="89" applyNumberFormat="1" applyFont="1" applyFill="1" applyBorder="1" applyAlignment="1"/>
    <xf numFmtId="3" fontId="7" fillId="0" borderId="30" xfId="89" applyNumberFormat="1" applyFont="1" applyFill="1" applyBorder="1" applyAlignment="1">
      <alignment horizontal="center" vertical="center"/>
    </xf>
    <xf numFmtId="167" fontId="7" fillId="0" borderId="18" xfId="89" applyNumberFormat="1" applyFont="1" applyFill="1" applyBorder="1" applyAlignment="1">
      <alignment horizontal="center" vertical="center"/>
    </xf>
    <xf numFmtId="169" fontId="7" fillId="27" borderId="37" xfId="89" applyNumberFormat="1" applyFont="1" applyFill="1" applyBorder="1" applyAlignment="1"/>
    <xf numFmtId="3" fontId="7" fillId="0" borderId="31" xfId="89" applyNumberFormat="1" applyFont="1" applyFill="1" applyBorder="1" applyAlignment="1">
      <alignment horizontal="center" vertical="center"/>
    </xf>
    <xf numFmtId="167" fontId="7" fillId="0" borderId="14" xfId="89" applyNumberFormat="1" applyFont="1" applyFill="1" applyBorder="1" applyAlignment="1">
      <alignment horizontal="center" vertical="center"/>
    </xf>
    <xf numFmtId="169" fontId="7" fillId="27" borderId="71" xfId="89" applyNumberFormat="1" applyFont="1" applyFill="1" applyBorder="1" applyAlignment="1"/>
    <xf numFmtId="3" fontId="7" fillId="0" borderId="48" xfId="89" applyNumberFormat="1" applyFont="1" applyFill="1" applyBorder="1" applyAlignment="1">
      <alignment horizontal="center" vertical="center"/>
    </xf>
    <xf numFmtId="3" fontId="7" fillId="30" borderId="20" xfId="89" applyNumberFormat="1" applyFont="1" applyFill="1" applyBorder="1" applyAlignment="1">
      <alignment horizontal="center" vertical="center"/>
    </xf>
    <xf numFmtId="167" fontId="7" fillId="0" borderId="22" xfId="89" applyNumberFormat="1" applyFont="1" applyFill="1" applyBorder="1" applyAlignment="1">
      <alignment horizontal="center" vertical="center"/>
    </xf>
    <xf numFmtId="167" fontId="8" fillId="0" borderId="15" xfId="65" applyNumberFormat="1" applyFont="1" applyBorder="1" applyAlignment="1">
      <alignment horizontal="center"/>
    </xf>
    <xf numFmtId="167" fontId="8" fillId="0" borderId="16" xfId="65" applyNumberFormat="1" applyFont="1" applyBorder="1" applyAlignment="1">
      <alignment horizontal="center"/>
    </xf>
    <xf numFmtId="167" fontId="8" fillId="0" borderId="17" xfId="65" applyNumberFormat="1" applyFont="1" applyBorder="1" applyAlignment="1">
      <alignment horizontal="center"/>
    </xf>
    <xf numFmtId="169" fontId="21" fillId="16" borderId="99" xfId="89" applyNumberFormat="1" applyFont="1" applyFill="1" applyBorder="1" applyAlignment="1">
      <alignment horizontal="center"/>
    </xf>
    <xf numFmtId="3" fontId="7" fillId="16" borderId="35" xfId="89" applyNumberFormat="1" applyFont="1" applyFill="1" applyBorder="1" applyAlignment="1">
      <alignment vertical="center"/>
    </xf>
    <xf numFmtId="171" fontId="7" fillId="16" borderId="32" xfId="89" applyNumberFormat="1" applyFont="1" applyFill="1" applyBorder="1" applyAlignment="1">
      <alignment vertical="center"/>
    </xf>
    <xf numFmtId="3" fontId="7" fillId="16" borderId="32" xfId="89" applyNumberFormat="1" applyFont="1" applyFill="1" applyBorder="1" applyAlignment="1">
      <alignment vertical="center"/>
    </xf>
    <xf numFmtId="167" fontId="14" fillId="16" borderId="33" xfId="89" applyNumberFormat="1" applyFont="1" applyFill="1" applyBorder="1" applyAlignment="1">
      <alignment vertical="center"/>
    </xf>
    <xf numFmtId="3" fontId="14" fillId="16" borderId="54" xfId="89" applyNumberFormat="1" applyFont="1" applyFill="1" applyBorder="1" applyAlignment="1">
      <alignment vertical="center"/>
    </xf>
    <xf numFmtId="3" fontId="14" fillId="16" borderId="28" xfId="89" applyNumberFormat="1" applyFont="1" applyFill="1" applyBorder="1" applyAlignment="1">
      <alignment vertical="center"/>
    </xf>
    <xf numFmtId="3" fontId="14" fillId="16" borderId="29" xfId="89" applyNumberFormat="1" applyFont="1" applyFill="1" applyBorder="1" applyAlignment="1">
      <alignment vertical="center"/>
    </xf>
    <xf numFmtId="1" fontId="14" fillId="16" borderId="26" xfId="89" applyNumberFormat="1" applyFont="1" applyFill="1" applyBorder="1" applyAlignment="1">
      <alignment vertical="center"/>
    </xf>
    <xf numFmtId="167" fontId="8" fillId="24" borderId="48" xfId="65" applyNumberFormat="1" applyFont="1" applyFill="1" applyBorder="1"/>
    <xf numFmtId="167" fontId="8" fillId="24" borderId="55" xfId="65" applyNumberFormat="1" applyFont="1" applyFill="1" applyBorder="1"/>
    <xf numFmtId="169" fontId="7" fillId="0" borderId="0" xfId="65" applyNumberFormat="1" applyFont="1" applyBorder="1"/>
    <xf numFmtId="169" fontId="12" fillId="29" borderId="50" xfId="89" applyNumberFormat="1" applyFont="1" applyFill="1" applyBorder="1" applyAlignment="1"/>
    <xf numFmtId="3" fontId="7" fillId="0" borderId="56" xfId="89" applyNumberFormat="1" applyFont="1" applyFill="1" applyBorder="1" applyAlignment="1">
      <alignment horizontal="center" vertical="center"/>
    </xf>
    <xf numFmtId="3" fontId="7" fillId="0" borderId="45" xfId="89" applyNumberFormat="1" applyFont="1" applyFill="1" applyBorder="1" applyAlignment="1">
      <alignment vertical="center"/>
    </xf>
    <xf numFmtId="3" fontId="7" fillId="0" borderId="23" xfId="89" applyNumberFormat="1" applyFont="1" applyFill="1" applyBorder="1" applyAlignment="1">
      <alignment vertical="center"/>
    </xf>
    <xf numFmtId="3" fontId="7" fillId="0" borderId="24" xfId="89" applyNumberFormat="1" applyFont="1" applyFill="1" applyBorder="1" applyAlignment="1">
      <alignment vertical="center"/>
    </xf>
    <xf numFmtId="1" fontId="7" fillId="0" borderId="45" xfId="89" applyNumberFormat="1" applyFont="1" applyFill="1" applyBorder="1" applyAlignment="1">
      <alignment vertical="center"/>
    </xf>
    <xf numFmtId="169" fontId="12" fillId="29" borderId="37" xfId="89" applyNumberFormat="1" applyFont="1" applyFill="1" applyBorder="1" applyAlignment="1"/>
    <xf numFmtId="169" fontId="12" fillId="29" borderId="43" xfId="89" applyNumberFormat="1" applyFont="1" applyFill="1" applyBorder="1" applyAlignment="1"/>
    <xf numFmtId="3" fontId="7" fillId="0" borderId="16" xfId="89" applyNumberFormat="1" applyFont="1" applyFill="1" applyBorder="1" applyAlignment="1">
      <alignment horizontal="center" vertical="center"/>
    </xf>
    <xf numFmtId="167" fontId="7" fillId="0" borderId="17" xfId="89" applyNumberFormat="1" applyFont="1" applyFill="1" applyBorder="1" applyAlignment="1">
      <alignment horizontal="center" vertical="center"/>
    </xf>
    <xf numFmtId="169" fontId="12" fillId="27" borderId="107" xfId="89" applyNumberFormat="1" applyFont="1" applyFill="1" applyBorder="1" applyAlignment="1"/>
    <xf numFmtId="3" fontId="7" fillId="30" borderId="23" xfId="89" applyNumberFormat="1" applyFont="1" applyFill="1" applyBorder="1" applyAlignment="1">
      <alignment horizontal="center" vertical="center"/>
    </xf>
    <xf numFmtId="167" fontId="7" fillId="0" borderId="24" xfId="89" applyNumberFormat="1" applyFont="1" applyFill="1" applyBorder="1" applyAlignment="1">
      <alignment horizontal="center" vertical="center"/>
    </xf>
    <xf numFmtId="3" fontId="7" fillId="0" borderId="58" xfId="89" applyNumberFormat="1" applyFont="1" applyFill="1" applyBorder="1" applyAlignment="1">
      <alignment vertical="center"/>
    </xf>
    <xf numFmtId="3" fontId="7" fillId="0" borderId="55" xfId="89" applyNumberFormat="1" applyFont="1" applyFill="1" applyBorder="1" applyAlignment="1">
      <alignment vertical="center"/>
    </xf>
    <xf numFmtId="3" fontId="7" fillId="0" borderId="42" xfId="89" applyNumberFormat="1" applyFont="1" applyFill="1" applyBorder="1" applyAlignment="1">
      <alignment vertical="center"/>
    </xf>
    <xf numFmtId="167" fontId="8" fillId="0" borderId="31" xfId="65" applyNumberFormat="1" applyFont="1" applyBorder="1" applyAlignment="1">
      <alignment horizontal="center"/>
    </xf>
    <xf numFmtId="167" fontId="8" fillId="0" borderId="23" xfId="65" applyNumberFormat="1" applyFont="1" applyBorder="1" applyAlignment="1">
      <alignment horizontal="center"/>
    </xf>
    <xf numFmtId="167" fontId="8" fillId="0" borderId="24" xfId="65" applyNumberFormat="1" applyFont="1" applyBorder="1" applyAlignment="1">
      <alignment horizontal="center"/>
    </xf>
    <xf numFmtId="169" fontId="12" fillId="27" borderId="37" xfId="89" applyNumberFormat="1" applyFont="1" applyFill="1" applyBorder="1" applyAlignment="1"/>
    <xf numFmtId="3" fontId="7" fillId="0" borderId="13" xfId="89" applyNumberFormat="1" applyFont="1" applyFill="1" applyBorder="1" applyAlignment="1">
      <alignment horizontal="center" vertical="center"/>
    </xf>
    <xf numFmtId="169" fontId="12" fillId="27" borderId="43" xfId="89" applyNumberFormat="1" applyFont="1" applyFill="1" applyBorder="1" applyAlignment="1"/>
    <xf numFmtId="3" fontId="7" fillId="0" borderId="15" xfId="89" applyNumberFormat="1" applyFont="1" applyFill="1" applyBorder="1" applyAlignment="1">
      <alignment horizontal="center" vertical="center"/>
    </xf>
    <xf numFmtId="3" fontId="7" fillId="0" borderId="0" xfId="65" applyNumberFormat="1" applyFont="1" applyFill="1" applyBorder="1" applyAlignment="1">
      <alignment horizontal="center" vertical="center" textRotation="90"/>
    </xf>
    <xf numFmtId="169" fontId="14" fillId="0" borderId="47" xfId="65" applyNumberFormat="1" applyFont="1" applyFill="1" applyBorder="1" applyAlignment="1">
      <alignment vertical="center" textRotation="90"/>
    </xf>
    <xf numFmtId="169" fontId="21" fillId="16" borderId="25" xfId="89" applyNumberFormat="1" applyFont="1" applyFill="1" applyBorder="1" applyAlignment="1">
      <alignment horizontal="center"/>
    </xf>
    <xf numFmtId="3" fontId="7" fillId="16" borderId="19" xfId="89" applyNumberFormat="1" applyFont="1" applyFill="1" applyBorder="1" applyAlignment="1">
      <alignment vertical="center"/>
    </xf>
    <xf numFmtId="167" fontId="7" fillId="16" borderId="28" xfId="89" applyNumberFormat="1" applyFont="1" applyFill="1" applyBorder="1" applyAlignment="1">
      <alignment vertical="center"/>
    </xf>
    <xf numFmtId="3" fontId="7" fillId="16" borderId="28" xfId="89" applyNumberFormat="1" applyFont="1" applyFill="1" applyBorder="1" applyAlignment="1">
      <alignment vertical="center"/>
    </xf>
    <xf numFmtId="167" fontId="14" fillId="16" borderId="29" xfId="89" applyNumberFormat="1" applyFont="1" applyFill="1" applyBorder="1" applyAlignment="1">
      <alignment horizontal="center" vertical="center"/>
    </xf>
    <xf numFmtId="3" fontId="7" fillId="16" borderId="29" xfId="89" applyNumberFormat="1" applyFont="1" applyFill="1" applyBorder="1" applyAlignment="1">
      <alignment vertical="center"/>
    </xf>
    <xf numFmtId="1" fontId="7" fillId="16" borderId="8" xfId="89" applyNumberFormat="1" applyFont="1" applyFill="1" applyBorder="1" applyAlignment="1">
      <alignment vertical="center"/>
    </xf>
    <xf numFmtId="169" fontId="12" fillId="29" borderId="30" xfId="89" applyNumberFormat="1" applyFont="1" applyFill="1" applyBorder="1" applyAlignment="1"/>
    <xf numFmtId="3" fontId="7" fillId="0" borderId="35" xfId="89" applyNumberFormat="1" applyFont="1" applyFill="1" applyBorder="1" applyAlignment="1">
      <alignment horizontal="center" vertical="center"/>
    </xf>
    <xf numFmtId="3" fontId="7" fillId="0" borderId="13" xfId="89" applyNumberFormat="1" applyFont="1" applyFill="1" applyBorder="1" applyAlignment="1">
      <alignment vertical="center"/>
    </xf>
    <xf numFmtId="3" fontId="7" fillId="0" borderId="21" xfId="89" applyNumberFormat="1" applyFont="1" applyFill="1" applyBorder="1" applyAlignment="1">
      <alignment vertical="center"/>
    </xf>
    <xf numFmtId="3" fontId="7" fillId="0" borderId="22" xfId="89" applyNumberFormat="1" applyFont="1" applyFill="1" applyBorder="1" applyAlignment="1">
      <alignment vertical="center"/>
    </xf>
    <xf numFmtId="169" fontId="12" fillId="27" borderId="31" xfId="89" applyNumberFormat="1" applyFont="1" applyFill="1" applyBorder="1" applyAlignment="1"/>
    <xf numFmtId="3" fontId="7" fillId="0" borderId="23" xfId="89" applyNumberFormat="1" applyFont="1" applyFill="1" applyBorder="1" applyAlignment="1">
      <alignment horizontal="center" vertical="center"/>
    </xf>
    <xf numFmtId="169" fontId="12" fillId="27" borderId="13" xfId="89" applyNumberFormat="1" applyFont="1" applyFill="1" applyBorder="1" applyAlignment="1"/>
    <xf numFmtId="169" fontId="12" fillId="27" borderId="15" xfId="89" applyNumberFormat="1" applyFont="1" applyFill="1" applyBorder="1" applyAlignment="1"/>
    <xf numFmtId="167" fontId="7" fillId="16" borderId="32" xfId="89" applyNumberFormat="1" applyFont="1" applyFill="1" applyBorder="1" applyAlignment="1">
      <alignment vertical="center"/>
    </xf>
    <xf numFmtId="167" fontId="14" fillId="16" borderId="33" xfId="89" applyNumberFormat="1" applyFont="1" applyFill="1" applyBorder="1" applyAlignment="1">
      <alignment horizontal="center" vertical="center"/>
    </xf>
    <xf numFmtId="169" fontId="12" fillId="29" borderId="13" xfId="89" applyNumberFormat="1" applyFont="1" applyFill="1" applyBorder="1" applyAlignment="1"/>
    <xf numFmtId="0" fontId="8" fillId="25" borderId="0" xfId="65" applyNumberFormat="1" applyFont="1" applyFill="1"/>
    <xf numFmtId="169" fontId="12" fillId="29" borderId="15" xfId="89" applyNumberFormat="1" applyFont="1" applyFill="1" applyBorder="1" applyAlignment="1"/>
    <xf numFmtId="169" fontId="14" fillId="28" borderId="36" xfId="65" applyNumberFormat="1" applyFont="1" applyFill="1" applyBorder="1" applyAlignment="1">
      <alignment horizontal="center" vertical="center" textRotation="90" wrapText="1"/>
    </xf>
    <xf numFmtId="169" fontId="12" fillId="29" borderId="61" xfId="89" applyNumberFormat="1" applyFont="1" applyFill="1" applyBorder="1" applyAlignment="1"/>
    <xf numFmtId="3" fontId="7" fillId="0" borderId="55" xfId="89" applyNumberFormat="1" applyFont="1" applyFill="1" applyBorder="1" applyAlignment="1">
      <alignment horizontal="center" vertical="center"/>
    </xf>
    <xf numFmtId="167" fontId="7" fillId="0" borderId="55" xfId="89" applyNumberFormat="1" applyFont="1" applyFill="1" applyBorder="1" applyAlignment="1">
      <alignment horizontal="center" vertical="center"/>
    </xf>
    <xf numFmtId="3" fontId="7" fillId="30" borderId="55" xfId="89" applyNumberFormat="1" applyFont="1" applyFill="1" applyBorder="1" applyAlignment="1">
      <alignment horizontal="center" vertical="center"/>
    </xf>
    <xf numFmtId="167" fontId="7" fillId="0" borderId="42" xfId="89" applyNumberFormat="1" applyFont="1" applyFill="1" applyBorder="1" applyAlignment="1">
      <alignment horizontal="center" vertical="center"/>
    </xf>
    <xf numFmtId="167" fontId="8" fillId="0" borderId="48" xfId="65" applyNumberFormat="1" applyFont="1" applyBorder="1" applyAlignment="1">
      <alignment horizontal="center"/>
    </xf>
    <xf numFmtId="167" fontId="8" fillId="0" borderId="55" xfId="65" applyNumberFormat="1" applyFont="1" applyBorder="1" applyAlignment="1">
      <alignment horizontal="center"/>
    </xf>
    <xf numFmtId="167" fontId="8" fillId="0" borderId="42" xfId="65" applyNumberFormat="1" applyFont="1" applyBorder="1" applyAlignment="1">
      <alignment horizontal="center"/>
    </xf>
    <xf numFmtId="169" fontId="14" fillId="28" borderId="36" xfId="65" applyNumberFormat="1" applyFont="1" applyFill="1" applyBorder="1" applyAlignment="1">
      <alignment horizontal="center" vertical="center" textRotation="90"/>
    </xf>
    <xf numFmtId="171" fontId="7" fillId="16" borderId="28" xfId="89" applyNumberFormat="1" applyFont="1" applyFill="1" applyBorder="1" applyAlignment="1">
      <alignment vertical="center"/>
    </xf>
    <xf numFmtId="169" fontId="12" fillId="27" borderId="30" xfId="89" applyNumberFormat="1" applyFont="1" applyFill="1" applyBorder="1" applyAlignment="1"/>
    <xf numFmtId="3" fontId="7" fillId="0" borderId="49" xfId="89" applyNumberFormat="1" applyFont="1" applyFill="1" applyBorder="1" applyAlignment="1">
      <alignment horizontal="center" vertical="center"/>
    </xf>
    <xf numFmtId="3" fontId="14" fillId="16" borderId="19" xfId="89" applyNumberFormat="1" applyFont="1" applyFill="1" applyBorder="1" applyAlignment="1">
      <alignment vertical="center"/>
    </xf>
    <xf numFmtId="1" fontId="14" fillId="16" borderId="29" xfId="89" applyNumberFormat="1" applyFont="1" applyFill="1" applyBorder="1" applyAlignment="1">
      <alignment vertical="center"/>
    </xf>
    <xf numFmtId="167" fontId="8" fillId="24" borderId="15" xfId="65" applyNumberFormat="1" applyFont="1" applyFill="1" applyBorder="1"/>
    <xf numFmtId="167" fontId="8" fillId="24" borderId="16" xfId="65" applyNumberFormat="1" applyFont="1" applyFill="1" applyBorder="1"/>
    <xf numFmtId="167" fontId="8" fillId="24" borderId="17" xfId="65" applyNumberFormat="1" applyFont="1" applyFill="1" applyBorder="1"/>
    <xf numFmtId="171" fontId="7" fillId="29" borderId="57" xfId="89" applyNumberFormat="1" applyFont="1" applyFill="1" applyBorder="1" applyAlignment="1">
      <alignment vertical="center"/>
    </xf>
    <xf numFmtId="167" fontId="14" fillId="22" borderId="29" xfId="89" applyNumberFormat="1" applyFont="1" applyFill="1" applyBorder="1" applyAlignment="1">
      <alignment horizontal="center" vertical="center"/>
    </xf>
    <xf numFmtId="3" fontId="20" fillId="22" borderId="29" xfId="89" applyNumberFormat="1" applyFont="1" applyFill="1" applyBorder="1" applyAlignment="1">
      <alignment vertical="center"/>
    </xf>
    <xf numFmtId="1" fontId="20" fillId="22" borderId="29" xfId="89" applyNumberFormat="1" applyFont="1" applyFill="1" applyBorder="1" applyAlignment="1">
      <alignment vertical="center"/>
    </xf>
    <xf numFmtId="3" fontId="17" fillId="29" borderId="47" xfId="89" applyNumberFormat="1" applyFont="1" applyFill="1" applyBorder="1" applyAlignment="1">
      <alignment vertical="center"/>
    </xf>
    <xf numFmtId="167" fontId="8" fillId="25" borderId="49" xfId="65" applyNumberFormat="1" applyFont="1" applyFill="1" applyBorder="1"/>
    <xf numFmtId="3" fontId="14" fillId="25" borderId="27" xfId="89" applyNumberFormat="1" applyFont="1" applyFill="1" applyBorder="1" applyAlignment="1">
      <alignment vertical="center"/>
    </xf>
    <xf numFmtId="3" fontId="14" fillId="0" borderId="0" xfId="89" applyNumberFormat="1" applyFont="1" applyFill="1" applyBorder="1" applyAlignment="1">
      <alignment vertical="center"/>
    </xf>
    <xf numFmtId="167" fontId="8" fillId="26" borderId="0" xfId="65" applyNumberFormat="1" applyFont="1" applyFill="1"/>
    <xf numFmtId="0" fontId="8" fillId="26" borderId="0" xfId="65" applyNumberFormat="1" applyFont="1" applyFill="1"/>
    <xf numFmtId="167" fontId="8" fillId="25" borderId="0" xfId="65" applyNumberFormat="1" applyFont="1" applyFill="1" applyAlignment="1">
      <alignment horizontal="left"/>
    </xf>
    <xf numFmtId="167" fontId="8" fillId="25" borderId="0" xfId="65" applyNumberFormat="1" applyFont="1" applyFill="1"/>
    <xf numFmtId="3" fontId="14" fillId="0" borderId="74" xfId="89" applyNumberFormat="1" applyFont="1" applyFill="1" applyBorder="1" applyAlignment="1">
      <alignment vertical="center"/>
    </xf>
    <xf numFmtId="3" fontId="7" fillId="36" borderId="35" xfId="89" applyNumberFormat="1" applyFont="1" applyFill="1" applyBorder="1" applyAlignment="1">
      <alignment horizontal="center"/>
    </xf>
    <xf numFmtId="3" fontId="7" fillId="36" borderId="32" xfId="89" applyNumberFormat="1" applyFont="1" applyFill="1" applyBorder="1" applyAlignment="1">
      <alignment horizontal="center"/>
    </xf>
    <xf numFmtId="3" fontId="7" fillId="36" borderId="108" xfId="89" applyNumberFormat="1" applyFont="1" applyFill="1" applyBorder="1" applyAlignment="1">
      <alignment horizontal="center"/>
    </xf>
    <xf numFmtId="3" fontId="7" fillId="36" borderId="33" xfId="89" applyNumberFormat="1" applyFont="1" applyFill="1" applyBorder="1" applyAlignment="1">
      <alignment horizontal="center"/>
    </xf>
    <xf numFmtId="169" fontId="12" fillId="0" borderId="30" xfId="89" applyNumberFormat="1" applyFont="1" applyFill="1" applyBorder="1" applyAlignment="1"/>
    <xf numFmtId="186" fontId="7" fillId="30" borderId="56" xfId="89" applyNumberFormat="1" applyFont="1" applyFill="1" applyBorder="1" applyAlignment="1">
      <alignment horizontal="center" vertical="center"/>
    </xf>
    <xf numFmtId="3" fontId="7" fillId="0" borderId="18" xfId="89" applyNumberFormat="1" applyFont="1" applyFill="1" applyBorder="1" applyAlignment="1">
      <alignment horizontal="center" vertical="center"/>
    </xf>
    <xf numFmtId="3" fontId="7" fillId="0" borderId="52" xfId="89" applyNumberFormat="1" applyFont="1" applyFill="1" applyBorder="1" applyAlignment="1">
      <alignment vertical="center"/>
    </xf>
    <xf numFmtId="3" fontId="7" fillId="0" borderId="56" xfId="89" applyNumberFormat="1" applyFont="1" applyFill="1" applyBorder="1" applyAlignment="1">
      <alignment vertical="center"/>
    </xf>
    <xf numFmtId="1" fontId="7" fillId="0" borderId="52" xfId="89" applyNumberFormat="1" applyFont="1" applyFill="1" applyBorder="1" applyAlignment="1">
      <alignment vertical="center"/>
    </xf>
    <xf numFmtId="169" fontId="12" fillId="0" borderId="13" xfId="89" applyNumberFormat="1" applyFont="1" applyFill="1" applyBorder="1" applyAlignment="1"/>
    <xf numFmtId="167" fontId="7" fillId="25" borderId="10" xfId="89" applyNumberFormat="1" applyFont="1" applyFill="1" applyBorder="1" applyAlignment="1">
      <alignment horizontal="center" vertical="center"/>
    </xf>
    <xf numFmtId="186" fontId="7" fillId="30" borderId="10" xfId="89" applyNumberFormat="1" applyFont="1" applyFill="1" applyBorder="1" applyAlignment="1">
      <alignment horizontal="center" vertical="center"/>
    </xf>
    <xf numFmtId="3" fontId="7" fillId="0" borderId="14" xfId="89" applyNumberFormat="1" applyFont="1" applyFill="1" applyBorder="1" applyAlignment="1">
      <alignment horizontal="center" vertical="center"/>
    </xf>
    <xf numFmtId="3" fontId="8" fillId="30" borderId="10" xfId="82" applyNumberFormat="1" applyFont="1" applyFill="1" applyBorder="1" applyAlignment="1">
      <alignment horizontal="center"/>
    </xf>
    <xf numFmtId="3" fontId="7" fillId="0" borderId="66" xfId="89" applyNumberFormat="1" applyFont="1" applyFill="1" applyBorder="1" applyAlignment="1">
      <alignment vertical="center"/>
    </xf>
    <xf numFmtId="1" fontId="7" fillId="0" borderId="66" xfId="89" applyNumberFormat="1" applyFont="1" applyFill="1" applyBorder="1" applyAlignment="1">
      <alignment vertical="center"/>
    </xf>
    <xf numFmtId="3" fontId="7" fillId="0" borderId="36" xfId="65" applyNumberFormat="1" applyFont="1" applyFill="1" applyBorder="1" applyAlignment="1">
      <alignment vertical="center" textRotation="90"/>
    </xf>
    <xf numFmtId="169" fontId="12" fillId="0" borderId="15" xfId="89" applyNumberFormat="1" applyFont="1" applyFill="1" applyBorder="1" applyAlignment="1"/>
    <xf numFmtId="167" fontId="7" fillId="25" borderId="16" xfId="89" applyNumberFormat="1" applyFont="1" applyFill="1" applyBorder="1" applyAlignment="1">
      <alignment horizontal="center" vertical="center"/>
    </xf>
    <xf numFmtId="186" fontId="7" fillId="30" borderId="16" xfId="89" applyNumberFormat="1" applyFont="1" applyFill="1" applyBorder="1" applyAlignment="1">
      <alignment horizontal="center" vertical="center"/>
    </xf>
    <xf numFmtId="3" fontId="7" fillId="0" borderId="17" xfId="89" applyNumberFormat="1" applyFont="1" applyFill="1" applyBorder="1" applyAlignment="1">
      <alignment horizontal="center" vertical="center"/>
    </xf>
    <xf numFmtId="169" fontId="21" fillId="16" borderId="41" xfId="89" applyNumberFormat="1" applyFont="1" applyFill="1" applyBorder="1" applyAlignment="1">
      <alignment horizontal="center"/>
    </xf>
    <xf numFmtId="3" fontId="7" fillId="16" borderId="49" xfId="89" applyNumberFormat="1" applyFont="1" applyFill="1" applyBorder="1" applyAlignment="1">
      <alignment vertical="center"/>
    </xf>
    <xf numFmtId="167" fontId="7" fillId="16" borderId="57" xfId="89" applyNumberFormat="1" applyFont="1" applyFill="1" applyBorder="1" applyAlignment="1">
      <alignment horizontal="center" vertical="center"/>
    </xf>
    <xf numFmtId="3" fontId="7" fillId="16" borderId="57" xfId="89" applyNumberFormat="1" applyFont="1" applyFill="1" applyBorder="1" applyAlignment="1">
      <alignment horizontal="center" vertical="center"/>
    </xf>
    <xf numFmtId="3" fontId="14" fillId="16" borderId="39" xfId="89" applyNumberFormat="1" applyFont="1" applyFill="1" applyBorder="1" applyAlignment="1">
      <alignment horizontal="center" vertical="center"/>
    </xf>
    <xf numFmtId="167" fontId="8" fillId="24" borderId="35" xfId="65" applyNumberFormat="1" applyFont="1" applyFill="1" applyBorder="1"/>
    <xf numFmtId="167" fontId="8" fillId="24" borderId="32" xfId="65" applyNumberFormat="1" applyFont="1" applyFill="1" applyBorder="1"/>
    <xf numFmtId="167" fontId="8" fillId="24" borderId="33" xfId="65" applyNumberFormat="1" applyFont="1" applyFill="1" applyBorder="1"/>
    <xf numFmtId="169" fontId="12" fillId="23" borderId="65" xfId="82" applyNumberFormat="1" applyFont="1" applyFill="1" applyBorder="1"/>
    <xf numFmtId="3" fontId="7" fillId="30" borderId="31" xfId="89" applyNumberFormat="1" applyFont="1" applyFill="1" applyBorder="1" applyAlignment="1">
      <alignment horizontal="center" vertical="center"/>
    </xf>
    <xf numFmtId="167" fontId="7" fillId="25" borderId="23" xfId="89" applyNumberFormat="1" applyFont="1" applyFill="1" applyBorder="1" applyAlignment="1">
      <alignment horizontal="center" vertical="center"/>
    </xf>
    <xf numFmtId="186" fontId="7" fillId="30" borderId="23" xfId="89" applyNumberFormat="1" applyFont="1" applyFill="1" applyBorder="1" applyAlignment="1">
      <alignment horizontal="center" vertical="center"/>
    </xf>
    <xf numFmtId="3" fontId="7" fillId="0" borderId="24" xfId="89" applyNumberFormat="1" applyFont="1" applyFill="1" applyBorder="1" applyAlignment="1">
      <alignment horizontal="center" vertical="center"/>
    </xf>
    <xf numFmtId="3" fontId="7" fillId="0" borderId="31" xfId="89" applyNumberFormat="1" applyFont="1" applyFill="1" applyBorder="1" applyAlignment="1">
      <alignment vertical="center"/>
    </xf>
    <xf numFmtId="169" fontId="12" fillId="23" borderId="9" xfId="82" applyNumberFormat="1" applyFont="1" applyFill="1" applyBorder="1"/>
    <xf numFmtId="3" fontId="7" fillId="30" borderId="13" xfId="82" applyNumberFormat="1" applyFont="1" applyFill="1" applyBorder="1" applyAlignment="1">
      <alignment horizontal="center"/>
    </xf>
    <xf numFmtId="3" fontId="8" fillId="0" borderId="13" xfId="82" applyNumberFormat="1" applyFont="1" applyBorder="1" applyAlignment="1">
      <alignment horizontal="right"/>
    </xf>
    <xf numFmtId="169" fontId="12" fillId="0" borderId="9" xfId="89" applyNumberFormat="1" applyFont="1" applyFill="1" applyBorder="1" applyAlignment="1"/>
    <xf numFmtId="3" fontId="7" fillId="30" borderId="13" xfId="89" applyNumberFormat="1" applyFont="1" applyFill="1" applyBorder="1" applyAlignment="1">
      <alignment horizontal="center" vertical="center"/>
    </xf>
    <xf numFmtId="171" fontId="7" fillId="0" borderId="14" xfId="89" applyNumberFormat="1" applyFont="1" applyFill="1" applyBorder="1" applyAlignment="1">
      <alignment horizontal="center" vertical="center"/>
    </xf>
    <xf numFmtId="3" fontId="7" fillId="30" borderId="21" xfId="89" applyNumberFormat="1" applyFont="1" applyFill="1" applyBorder="1" applyAlignment="1">
      <alignment horizontal="center" vertical="center"/>
    </xf>
    <xf numFmtId="171" fontId="7" fillId="0" borderId="22" xfId="89" applyNumberFormat="1" applyFont="1" applyFill="1" applyBorder="1" applyAlignment="1">
      <alignment horizontal="center" vertical="center"/>
    </xf>
    <xf numFmtId="3" fontId="8" fillId="30" borderId="13" xfId="82" applyNumberFormat="1" applyFont="1" applyFill="1" applyBorder="1" applyAlignment="1">
      <alignment horizontal="center"/>
    </xf>
    <xf numFmtId="0" fontId="8" fillId="0" borderId="0" xfId="65" applyNumberFormat="1"/>
    <xf numFmtId="3" fontId="8" fillId="30" borderId="13" xfId="65" applyNumberFormat="1" applyFill="1" applyBorder="1" applyAlignment="1">
      <alignment horizontal="center"/>
    </xf>
    <xf numFmtId="4" fontId="7" fillId="30" borderId="23" xfId="89" applyNumberFormat="1" applyFont="1" applyFill="1" applyBorder="1" applyAlignment="1">
      <alignment horizontal="center" vertical="center"/>
    </xf>
    <xf numFmtId="169" fontId="12" fillId="0" borderId="101" xfId="89" applyNumberFormat="1" applyFont="1" applyFill="1" applyBorder="1" applyAlignment="1"/>
    <xf numFmtId="169" fontId="12" fillId="0" borderId="64" xfId="89" applyNumberFormat="1" applyFont="1" applyFill="1" applyBorder="1" applyAlignment="1"/>
    <xf numFmtId="169" fontId="21" fillId="16" borderId="40" xfId="89" applyNumberFormat="1" applyFont="1" applyFill="1" applyBorder="1" applyAlignment="1">
      <alignment horizontal="center"/>
    </xf>
    <xf numFmtId="171" fontId="7" fillId="16" borderId="57" xfId="89" applyNumberFormat="1" applyFont="1" applyFill="1" applyBorder="1" applyAlignment="1">
      <alignment vertical="center"/>
    </xf>
    <xf numFmtId="3" fontId="7" fillId="16" borderId="57" xfId="89" applyNumberFormat="1" applyFont="1" applyFill="1" applyBorder="1" applyAlignment="1">
      <alignment vertical="center"/>
    </xf>
    <xf numFmtId="167" fontId="14" fillId="16" borderId="39" xfId="89" applyNumberFormat="1" applyFont="1" applyFill="1" applyBorder="1" applyAlignment="1">
      <alignment vertical="center"/>
    </xf>
    <xf numFmtId="167" fontId="8" fillId="24" borderId="19" xfId="65" applyNumberFormat="1" applyFont="1" applyFill="1" applyBorder="1"/>
    <xf numFmtId="167" fontId="8" fillId="24" borderId="28" xfId="65" applyNumberFormat="1" applyFont="1" applyFill="1" applyBorder="1"/>
    <xf numFmtId="167" fontId="8" fillId="24" borderId="29" xfId="65" applyNumberFormat="1" applyFont="1" applyFill="1" applyBorder="1"/>
    <xf numFmtId="3" fontId="7" fillId="29" borderId="39" xfId="89" applyNumberFormat="1" applyFont="1" applyFill="1" applyBorder="1" applyAlignment="1">
      <alignment vertical="center"/>
    </xf>
    <xf numFmtId="1" fontId="17" fillId="29" borderId="47" xfId="89" applyNumberFormat="1" applyFont="1" applyFill="1" applyBorder="1" applyAlignment="1">
      <alignment vertical="center"/>
    </xf>
    <xf numFmtId="3" fontId="28" fillId="29" borderId="39" xfId="89" applyNumberFormat="1" applyFont="1" applyFill="1" applyBorder="1" applyAlignment="1">
      <alignment vertical="center"/>
    </xf>
    <xf numFmtId="169" fontId="8" fillId="26" borderId="99" xfId="65" applyNumberFormat="1" applyFill="1" applyBorder="1"/>
    <xf numFmtId="169" fontId="12" fillId="26" borderId="25" xfId="89" applyNumberFormat="1" applyFont="1" applyFill="1" applyBorder="1" applyAlignment="1">
      <alignment horizontal="center"/>
    </xf>
    <xf numFmtId="3" fontId="7" fillId="26" borderId="19" xfId="89" applyNumberFormat="1" applyFont="1" applyFill="1" applyBorder="1" applyAlignment="1">
      <alignment horizontal="center"/>
    </xf>
    <xf numFmtId="171" fontId="7" fillId="26" borderId="28" xfId="89" applyNumberFormat="1" applyFont="1" applyFill="1" applyBorder="1" applyAlignment="1">
      <alignment horizontal="center"/>
    </xf>
    <xf numFmtId="3" fontId="7" fillId="26" borderId="96" xfId="89" applyNumberFormat="1" applyFont="1" applyFill="1" applyBorder="1" applyAlignment="1">
      <alignment horizontal="center"/>
    </xf>
    <xf numFmtId="171" fontId="7" fillId="26" borderId="29" xfId="89" applyNumberFormat="1" applyFont="1" applyFill="1" applyBorder="1" applyAlignment="1">
      <alignment horizontal="center"/>
    </xf>
    <xf numFmtId="3" fontId="7" fillId="36" borderId="19" xfId="89" applyNumberFormat="1" applyFont="1" applyFill="1" applyBorder="1" applyAlignment="1">
      <alignment horizontal="center"/>
    </xf>
    <xf numFmtId="3" fontId="7" fillId="36" borderId="28" xfId="89" applyNumberFormat="1" applyFont="1" applyFill="1" applyBorder="1" applyAlignment="1">
      <alignment horizontal="center"/>
    </xf>
    <xf numFmtId="3" fontId="7" fillId="36" borderId="96" xfId="89" applyNumberFormat="1" applyFont="1" applyFill="1" applyBorder="1" applyAlignment="1">
      <alignment horizontal="center"/>
    </xf>
    <xf numFmtId="3" fontId="7" fillId="36" borderId="29" xfId="89" applyNumberFormat="1" applyFont="1" applyFill="1" applyBorder="1" applyAlignment="1">
      <alignment horizontal="center"/>
    </xf>
    <xf numFmtId="1" fontId="13" fillId="25" borderId="19" xfId="65" quotePrefix="1" applyNumberFormat="1" applyFont="1" applyFill="1" applyBorder="1" applyAlignment="1">
      <alignment horizontal="center"/>
    </xf>
    <xf numFmtId="3" fontId="13" fillId="25" borderId="29" xfId="65" quotePrefix="1" applyNumberFormat="1" applyFont="1" applyFill="1" applyBorder="1" applyAlignment="1">
      <alignment horizontal="center"/>
    </xf>
    <xf numFmtId="169" fontId="8" fillId="16" borderId="35" xfId="65" applyNumberFormat="1" applyFill="1" applyBorder="1" applyAlignment="1">
      <alignment horizontal="center"/>
    </xf>
    <xf numFmtId="169" fontId="8" fillId="16" borderId="32" xfId="65" applyNumberFormat="1" applyFill="1" applyBorder="1" applyAlignment="1">
      <alignment horizontal="center"/>
    </xf>
    <xf numFmtId="169" fontId="8" fillId="16" borderId="33" xfId="65" applyNumberFormat="1" applyFill="1" applyBorder="1" applyAlignment="1">
      <alignment horizontal="center"/>
    </xf>
    <xf numFmtId="1" fontId="7" fillId="0" borderId="14" xfId="89" applyNumberFormat="1" applyFont="1" applyFill="1" applyBorder="1" applyAlignment="1">
      <alignment vertical="center"/>
    </xf>
    <xf numFmtId="169" fontId="12" fillId="0" borderId="21" xfId="89" applyNumberFormat="1" applyFont="1" applyFill="1" applyBorder="1" applyAlignment="1"/>
    <xf numFmtId="1" fontId="7" fillId="0" borderId="22" xfId="89" applyNumberFormat="1" applyFont="1" applyFill="1" applyBorder="1" applyAlignment="1">
      <alignment vertical="center"/>
    </xf>
    <xf numFmtId="169" fontId="21" fillId="16" borderId="19" xfId="89" applyNumberFormat="1" applyFont="1" applyFill="1" applyBorder="1" applyAlignment="1">
      <alignment horizontal="center"/>
    </xf>
    <xf numFmtId="167" fontId="7" fillId="16" borderId="28" xfId="89" applyNumberFormat="1" applyFont="1" applyFill="1" applyBorder="1" applyAlignment="1">
      <alignment horizontal="center" vertical="center"/>
    </xf>
    <xf numFmtId="3" fontId="7" fillId="16" borderId="28" xfId="89" applyNumberFormat="1" applyFont="1" applyFill="1" applyBorder="1" applyAlignment="1">
      <alignment horizontal="center" vertical="center"/>
    </xf>
    <xf numFmtId="167" fontId="8" fillId="24" borderId="42" xfId="65" applyNumberFormat="1" applyFont="1" applyFill="1" applyBorder="1"/>
    <xf numFmtId="169" fontId="12" fillId="0" borderId="31" xfId="89" applyNumberFormat="1" applyFont="1" applyFill="1" applyBorder="1" applyAlignment="1"/>
    <xf numFmtId="167" fontId="7" fillId="0" borderId="23" xfId="89" applyNumberFormat="1" applyFont="1" applyFill="1" applyBorder="1" applyAlignment="1">
      <alignment horizontal="center" vertical="center"/>
    </xf>
    <xf numFmtId="1" fontId="7" fillId="0" borderId="24" xfId="89" applyNumberFormat="1" applyFont="1" applyFill="1" applyBorder="1" applyAlignment="1">
      <alignment vertical="center"/>
    </xf>
    <xf numFmtId="167" fontId="8" fillId="24" borderId="49" xfId="65" applyNumberFormat="1" applyFont="1" applyFill="1" applyBorder="1"/>
    <xf numFmtId="167" fontId="8" fillId="24" borderId="57" xfId="65" applyNumberFormat="1" applyFont="1" applyFill="1" applyBorder="1"/>
    <xf numFmtId="1" fontId="7" fillId="0" borderId="23" xfId="89" applyNumberFormat="1" applyFont="1" applyFill="1" applyBorder="1" applyAlignment="1">
      <alignment vertical="center"/>
    </xf>
    <xf numFmtId="1" fontId="7" fillId="0" borderId="98" xfId="89" applyNumberFormat="1" applyFont="1" applyFill="1" applyBorder="1" applyAlignment="1">
      <alignment vertical="center"/>
    </xf>
    <xf numFmtId="169" fontId="12" fillId="0" borderId="48" xfId="89" applyNumberFormat="1" applyFont="1" applyFill="1" applyBorder="1" applyAlignment="1"/>
    <xf numFmtId="169" fontId="29" fillId="0" borderId="13" xfId="89" applyNumberFormat="1" applyFont="1" applyFill="1" applyBorder="1" applyAlignment="1"/>
    <xf numFmtId="169" fontId="21" fillId="16" borderId="62" xfId="89" applyNumberFormat="1" applyFont="1" applyFill="1" applyBorder="1" applyAlignment="1">
      <alignment horizontal="center"/>
    </xf>
    <xf numFmtId="3" fontId="14" fillId="16" borderId="32" xfId="89" applyNumberFormat="1" applyFont="1" applyFill="1" applyBorder="1" applyAlignment="1">
      <alignment vertical="center"/>
    </xf>
    <xf numFmtId="171" fontId="14" fillId="16" borderId="32" xfId="89" applyNumberFormat="1" applyFont="1" applyFill="1" applyBorder="1" applyAlignment="1">
      <alignment vertical="center"/>
    </xf>
    <xf numFmtId="171" fontId="14" fillId="16" borderId="33" xfId="89" applyNumberFormat="1" applyFont="1" applyFill="1" applyBorder="1" applyAlignment="1">
      <alignment vertical="center"/>
    </xf>
    <xf numFmtId="3" fontId="14" fillId="16" borderId="35" xfId="89" applyNumberFormat="1" applyFont="1" applyFill="1" applyBorder="1" applyAlignment="1">
      <alignment vertical="center"/>
    </xf>
    <xf numFmtId="3" fontId="14" fillId="16" borderId="33" xfId="89" applyNumberFormat="1" applyFont="1" applyFill="1" applyBorder="1" applyAlignment="1">
      <alignment vertical="center"/>
    </xf>
    <xf numFmtId="1" fontId="14" fillId="16" borderId="33" xfId="89" applyNumberFormat="1" applyFont="1" applyFill="1" applyBorder="1" applyAlignment="1">
      <alignment vertical="center"/>
    </xf>
    <xf numFmtId="167" fontId="8" fillId="24" borderId="39" xfId="65" applyNumberFormat="1" applyFont="1" applyFill="1" applyBorder="1"/>
    <xf numFmtId="3" fontId="14" fillId="29" borderId="28" xfId="89" applyNumberFormat="1" applyFont="1" applyFill="1" applyBorder="1" applyAlignment="1">
      <alignment vertical="center"/>
    </xf>
    <xf numFmtId="171" fontId="14" fillId="29" borderId="28" xfId="89" applyNumberFormat="1" applyFont="1" applyFill="1" applyBorder="1" applyAlignment="1">
      <alignment vertical="center"/>
    </xf>
    <xf numFmtId="1" fontId="14" fillId="29" borderId="28" xfId="89" applyNumberFormat="1" applyFont="1" applyFill="1" applyBorder="1" applyAlignment="1">
      <alignment vertical="center"/>
    </xf>
    <xf numFmtId="3" fontId="14" fillId="29" borderId="29" xfId="89" applyNumberFormat="1" applyFont="1" applyFill="1" applyBorder="1" applyAlignment="1">
      <alignment vertical="center"/>
    </xf>
    <xf numFmtId="169" fontId="21" fillId="0" borderId="0" xfId="89" applyNumberFormat="1" applyFont="1" applyFill="1" applyBorder="1" applyAlignment="1">
      <alignment horizontal="center"/>
    </xf>
    <xf numFmtId="171" fontId="14" fillId="0" borderId="0" xfId="89" applyNumberFormat="1" applyFont="1" applyFill="1" applyBorder="1" applyAlignment="1">
      <alignment vertical="center"/>
    </xf>
    <xf numFmtId="1" fontId="14" fillId="0" borderId="0" xfId="89" applyNumberFormat="1" applyFont="1" applyFill="1" applyBorder="1" applyAlignment="1">
      <alignment vertical="center"/>
    </xf>
    <xf numFmtId="169" fontId="8" fillId="0" borderId="0" xfId="65" applyNumberFormat="1" applyFill="1"/>
    <xf numFmtId="169" fontId="31" fillId="32" borderId="27" xfId="89" applyNumberFormat="1" applyFont="1" applyFill="1" applyBorder="1" applyAlignment="1">
      <alignment horizontal="center"/>
    </xf>
    <xf numFmtId="3" fontId="32" fillId="32" borderId="25" xfId="65" applyNumberFormat="1" applyFont="1" applyFill="1" applyBorder="1"/>
    <xf numFmtId="171" fontId="32" fillId="32" borderId="8" xfId="65" applyNumberFormat="1" applyFont="1" applyFill="1" applyBorder="1"/>
    <xf numFmtId="3" fontId="32" fillId="32" borderId="8" xfId="65" applyNumberFormat="1" applyFont="1" applyFill="1" applyBorder="1"/>
    <xf numFmtId="167" fontId="32" fillId="32" borderId="27" xfId="65" applyNumberFormat="1" applyFont="1" applyFill="1" applyBorder="1"/>
    <xf numFmtId="169" fontId="32" fillId="32" borderId="8" xfId="65" applyNumberFormat="1" applyFont="1" applyFill="1" applyBorder="1"/>
    <xf numFmtId="169" fontId="32" fillId="32" borderId="27" xfId="65" applyNumberFormat="1" applyFont="1" applyFill="1" applyBorder="1"/>
    <xf numFmtId="1" fontId="32" fillId="32" borderId="27" xfId="65" applyNumberFormat="1" applyFont="1" applyFill="1" applyBorder="1"/>
    <xf numFmtId="3" fontId="32" fillId="32" borderId="27" xfId="65" applyNumberFormat="1" applyFont="1" applyFill="1" applyBorder="1"/>
    <xf numFmtId="169" fontId="31" fillId="0" borderId="0" xfId="89" applyNumberFormat="1" applyFont="1" applyFill="1" applyBorder="1" applyAlignment="1">
      <alignment horizontal="center"/>
    </xf>
    <xf numFmtId="3" fontId="32" fillId="0" borderId="0" xfId="65" applyNumberFormat="1" applyFont="1" applyFill="1" applyBorder="1"/>
    <xf numFmtId="171" fontId="32" fillId="0" borderId="0" xfId="65" applyNumberFormat="1" applyFont="1" applyFill="1" applyBorder="1"/>
    <xf numFmtId="167" fontId="32" fillId="0" borderId="0" xfId="65" applyNumberFormat="1" applyFont="1" applyFill="1" applyBorder="1"/>
    <xf numFmtId="169" fontId="32" fillId="0" borderId="0" xfId="65" applyNumberFormat="1" applyFont="1" applyFill="1" applyBorder="1"/>
    <xf numFmtId="1" fontId="32" fillId="0" borderId="0" xfId="65" applyNumberFormat="1" applyFont="1" applyFill="1" applyBorder="1"/>
    <xf numFmtId="3" fontId="7" fillId="36" borderId="54" xfId="89" applyNumberFormat="1" applyFont="1" applyFill="1" applyBorder="1" applyAlignment="1">
      <alignment horizontal="center"/>
    </xf>
    <xf numFmtId="9" fontId="7" fillId="30" borderId="56" xfId="89" applyNumberFormat="1" applyFont="1" applyFill="1" applyBorder="1" applyAlignment="1">
      <alignment vertical="center"/>
    </xf>
    <xf numFmtId="171" fontId="7" fillId="0" borderId="56" xfId="89" applyNumberFormat="1" applyFont="1" applyFill="1" applyBorder="1" applyAlignment="1">
      <alignment vertical="center"/>
    </xf>
    <xf numFmtId="171" fontId="7" fillId="0" borderId="18" xfId="89" applyNumberFormat="1" applyFont="1" applyFill="1" applyBorder="1" applyAlignment="1">
      <alignment vertical="center"/>
    </xf>
    <xf numFmtId="9" fontId="7" fillId="30" borderId="10" xfId="89" applyNumberFormat="1" applyFont="1" applyFill="1" applyBorder="1" applyAlignment="1">
      <alignment vertical="center"/>
    </xf>
    <xf numFmtId="171" fontId="7" fillId="0" borderId="10" xfId="89" applyNumberFormat="1" applyFont="1" applyFill="1" applyBorder="1" applyAlignment="1">
      <alignment vertical="center"/>
    </xf>
    <xf numFmtId="171" fontId="7" fillId="0" borderId="14" xfId="89" applyNumberFormat="1" applyFont="1" applyFill="1" applyBorder="1" applyAlignment="1">
      <alignment vertical="center"/>
    </xf>
    <xf numFmtId="3" fontId="7" fillId="30" borderId="10" xfId="89" applyNumberFormat="1" applyFont="1" applyFill="1" applyBorder="1" applyAlignment="1">
      <alignment vertical="center"/>
    </xf>
    <xf numFmtId="3" fontId="7" fillId="30" borderId="20" xfId="89" applyNumberFormat="1" applyFont="1" applyFill="1" applyBorder="1" applyAlignment="1">
      <alignment vertical="center"/>
    </xf>
    <xf numFmtId="171" fontId="7" fillId="0" borderId="20" xfId="89" applyNumberFormat="1" applyFont="1" applyFill="1" applyBorder="1" applyAlignment="1">
      <alignment vertical="center"/>
    </xf>
    <xf numFmtId="171" fontId="7" fillId="0" borderId="22" xfId="89" applyNumberFormat="1" applyFont="1" applyFill="1" applyBorder="1" applyAlignment="1">
      <alignment vertical="center"/>
    </xf>
    <xf numFmtId="169" fontId="21" fillId="29" borderId="49" xfId="89" applyNumberFormat="1" applyFont="1" applyFill="1" applyBorder="1" applyAlignment="1">
      <alignment horizontal="center"/>
    </xf>
    <xf numFmtId="3" fontId="14" fillId="29" borderId="57" xfId="89" applyNumberFormat="1" applyFont="1" applyFill="1" applyBorder="1" applyAlignment="1">
      <alignment vertical="center"/>
    </xf>
    <xf numFmtId="171" fontId="14" fillId="29" borderId="39" xfId="89" applyNumberFormat="1" applyFont="1" applyFill="1" applyBorder="1" applyAlignment="1">
      <alignment vertical="center"/>
    </xf>
    <xf numFmtId="169" fontId="7" fillId="29" borderId="46" xfId="89" applyNumberFormat="1" applyFont="1" applyFill="1" applyBorder="1" applyAlignment="1">
      <alignment vertical="center"/>
    </xf>
    <xf numFmtId="1" fontId="7" fillId="29" borderId="57" xfId="89" applyNumberFormat="1" applyFont="1" applyFill="1" applyBorder="1" applyAlignment="1">
      <alignment vertical="center"/>
    </xf>
    <xf numFmtId="3" fontId="14" fillId="25" borderId="75" xfId="89" applyNumberFormat="1" applyFont="1" applyFill="1" applyBorder="1" applyAlignment="1">
      <alignment vertical="center"/>
    </xf>
    <xf numFmtId="3" fontId="33" fillId="32" borderId="34" xfId="89" applyNumberFormat="1" applyFont="1" applyFill="1" applyBorder="1" applyAlignment="1">
      <alignment horizontal="center"/>
    </xf>
    <xf numFmtId="3" fontId="33" fillId="0" borderId="0" xfId="89" applyNumberFormat="1" applyFont="1" applyFill="1" applyBorder="1" applyAlignment="1">
      <alignment horizontal="center"/>
    </xf>
    <xf numFmtId="169" fontId="30" fillId="25" borderId="100" xfId="65" applyNumberFormat="1" applyFont="1" applyFill="1" applyBorder="1" applyAlignment="1">
      <alignment horizontal="center"/>
    </xf>
    <xf numFmtId="171" fontId="30" fillId="25" borderId="56" xfId="65" applyNumberFormat="1" applyFont="1" applyFill="1" applyBorder="1" applyAlignment="1">
      <alignment horizontal="center"/>
    </xf>
    <xf numFmtId="169" fontId="8" fillId="0" borderId="10" xfId="65" applyNumberFormat="1" applyBorder="1" applyAlignment="1">
      <alignment horizontal="left"/>
    </xf>
    <xf numFmtId="169" fontId="8" fillId="0" borderId="10" xfId="65" applyNumberFormat="1" applyFont="1" applyBorder="1" applyAlignment="1">
      <alignment horizontal="left"/>
    </xf>
    <xf numFmtId="169" fontId="8" fillId="0" borderId="16" xfId="65" applyNumberFormat="1" applyFont="1" applyBorder="1" applyAlignment="1">
      <alignment horizontal="left"/>
    </xf>
    <xf numFmtId="3" fontId="30" fillId="34" borderId="27" xfId="65" applyNumberFormat="1" applyFont="1" applyFill="1" applyBorder="1"/>
    <xf numFmtId="169" fontId="7" fillId="29" borderId="25" xfId="65" applyNumberFormat="1" applyFont="1" applyFill="1" applyBorder="1" applyAlignment="1">
      <alignment horizontal="center"/>
    </xf>
    <xf numFmtId="169" fontId="7" fillId="25" borderId="27" xfId="65" applyNumberFormat="1" applyFont="1" applyFill="1" applyBorder="1"/>
    <xf numFmtId="171" fontId="7" fillId="0" borderId="0" xfId="65" applyNumberFormat="1" applyFont="1" applyFill="1" applyBorder="1"/>
    <xf numFmtId="171" fontId="8" fillId="0" borderId="0" xfId="65" applyNumberFormat="1" applyFill="1" applyBorder="1"/>
    <xf numFmtId="1" fontId="7" fillId="0" borderId="0" xfId="65" applyNumberFormat="1" applyFont="1" applyFill="1" applyBorder="1" applyAlignment="1">
      <alignment horizontal="center"/>
    </xf>
    <xf numFmtId="3" fontId="7" fillId="26" borderId="34" xfId="65" applyNumberFormat="1" applyFont="1" applyFill="1" applyBorder="1" applyAlignment="1">
      <alignment horizontal="center"/>
    </xf>
    <xf numFmtId="169" fontId="12" fillId="26" borderId="27" xfId="89" applyNumberFormat="1" applyFont="1" applyFill="1" applyBorder="1" applyAlignment="1">
      <alignment horizontal="center"/>
    </xf>
    <xf numFmtId="167" fontId="7" fillId="0" borderId="26" xfId="65" applyNumberFormat="1" applyFont="1" applyBorder="1"/>
    <xf numFmtId="169" fontId="7" fillId="0" borderId="0" xfId="65" applyNumberFormat="1" applyFont="1" applyFill="1" applyBorder="1"/>
    <xf numFmtId="194" fontId="7" fillId="0" borderId="0" xfId="65" applyNumberFormat="1" applyFont="1" applyFill="1" applyBorder="1"/>
    <xf numFmtId="167" fontId="8" fillId="0" borderId="0" xfId="65" applyNumberFormat="1" applyFill="1" applyBorder="1"/>
    <xf numFmtId="177" fontId="8" fillId="0" borderId="0" xfId="65" applyNumberFormat="1" applyFill="1" applyBorder="1" applyAlignment="1"/>
    <xf numFmtId="3" fontId="8" fillId="0" borderId="0" xfId="65" applyNumberFormat="1" applyAlignment="1"/>
    <xf numFmtId="3" fontId="7" fillId="26" borderId="36" xfId="65" applyNumberFormat="1" applyFont="1" applyFill="1" applyBorder="1" applyAlignment="1">
      <alignment horizontal="center"/>
    </xf>
    <xf numFmtId="3" fontId="7" fillId="26" borderId="75" xfId="65" applyNumberFormat="1" applyFont="1" applyFill="1" applyBorder="1" applyAlignment="1">
      <alignment horizontal="center"/>
    </xf>
    <xf numFmtId="167" fontId="7" fillId="0" borderId="47" xfId="65" applyNumberFormat="1" applyFont="1" applyFill="1" applyBorder="1"/>
    <xf numFmtId="3" fontId="7" fillId="26" borderId="0" xfId="65" applyNumberFormat="1" applyFont="1" applyFill="1" applyBorder="1" applyAlignment="1">
      <alignment horizontal="center"/>
    </xf>
    <xf numFmtId="169" fontId="12" fillId="26" borderId="0" xfId="89" applyNumberFormat="1" applyFont="1" applyFill="1" applyBorder="1" applyAlignment="1">
      <alignment horizontal="center"/>
    </xf>
    <xf numFmtId="167" fontId="7" fillId="0" borderId="0" xfId="65" applyNumberFormat="1" applyFont="1" applyFill="1" applyBorder="1"/>
    <xf numFmtId="167" fontId="8" fillId="0" borderId="0" xfId="65" applyNumberFormat="1"/>
    <xf numFmtId="3" fontId="33" fillId="32" borderId="27" xfId="89" applyNumberFormat="1" applyFont="1" applyFill="1" applyBorder="1" applyAlignment="1">
      <alignment horizontal="center"/>
    </xf>
    <xf numFmtId="167" fontId="7" fillId="0" borderId="27" xfId="65" applyNumberFormat="1" applyFont="1" applyBorder="1"/>
    <xf numFmtId="169" fontId="30" fillId="25" borderId="25" xfId="65" applyNumberFormat="1" applyFont="1" applyFill="1" applyBorder="1" applyAlignment="1">
      <alignment horizontal="center"/>
    </xf>
    <xf numFmtId="169" fontId="30" fillId="25" borderId="8" xfId="65" applyNumberFormat="1" applyFont="1" applyFill="1" applyBorder="1" applyAlignment="1">
      <alignment horizontal="center"/>
    </xf>
    <xf numFmtId="169" fontId="30" fillId="25" borderId="26" xfId="65" applyNumberFormat="1" applyFont="1" applyFill="1" applyBorder="1" applyAlignment="1">
      <alignment horizontal="center"/>
    </xf>
    <xf numFmtId="169" fontId="30" fillId="25" borderId="61" xfId="65" applyNumberFormat="1" applyFont="1" applyFill="1" applyBorder="1" applyAlignment="1">
      <alignment horizontal="center"/>
    </xf>
    <xf numFmtId="171" fontId="30" fillId="25" borderId="61" xfId="65" applyNumberFormat="1" applyFont="1" applyFill="1" applyBorder="1" applyAlignment="1">
      <alignment horizontal="center"/>
    </xf>
    <xf numFmtId="171" fontId="30" fillId="25" borderId="30" xfId="65" applyNumberFormat="1" applyFont="1" applyFill="1" applyBorder="1" applyAlignment="1">
      <alignment horizontal="center"/>
    </xf>
    <xf numFmtId="169" fontId="7" fillId="0" borderId="37" xfId="65" applyNumberFormat="1" applyFont="1" applyBorder="1" applyAlignment="1">
      <alignment horizontal="center"/>
    </xf>
    <xf numFmtId="171" fontId="8" fillId="0" borderId="50" xfId="65" applyNumberFormat="1" applyBorder="1"/>
    <xf numFmtId="169" fontId="8" fillId="0" borderId="13" xfId="65" applyNumberFormat="1" applyBorder="1" applyAlignment="1">
      <alignment horizontal="left"/>
    </xf>
    <xf numFmtId="171" fontId="8" fillId="0" borderId="37" xfId="65" applyNumberFormat="1" applyBorder="1"/>
    <xf numFmtId="169" fontId="8" fillId="0" borderId="13" xfId="65" applyNumberFormat="1" applyFont="1" applyBorder="1" applyAlignment="1">
      <alignment horizontal="left"/>
    </xf>
    <xf numFmtId="169" fontId="7" fillId="0" borderId="71" xfId="65" applyNumberFormat="1" applyFont="1" applyBorder="1" applyAlignment="1">
      <alignment horizontal="center"/>
    </xf>
    <xf numFmtId="171" fontId="8" fillId="0" borderId="71" xfId="65" applyNumberFormat="1" applyBorder="1"/>
    <xf numFmtId="169" fontId="8" fillId="0" borderId="15" xfId="65" applyNumberFormat="1" applyFont="1" applyBorder="1" applyAlignment="1">
      <alignment horizontal="left"/>
    </xf>
    <xf numFmtId="169" fontId="7" fillId="25" borderId="25" xfId="65" applyNumberFormat="1" applyFont="1" applyFill="1" applyBorder="1" applyAlignment="1">
      <alignment horizontal="center"/>
    </xf>
    <xf numFmtId="171" fontId="8" fillId="25" borderId="27" xfId="65" applyNumberFormat="1" applyFill="1" applyBorder="1"/>
    <xf numFmtId="169" fontId="8" fillId="0" borderId="0" xfId="65" applyNumberFormat="1" applyFill="1" applyBorder="1" applyAlignment="1"/>
    <xf numFmtId="169" fontId="8" fillId="25" borderId="41" xfId="65" applyNumberFormat="1" applyFill="1" applyBorder="1" applyAlignment="1"/>
    <xf numFmtId="169" fontId="8" fillId="25" borderId="46" xfId="65" applyNumberFormat="1" applyFill="1" applyBorder="1" applyAlignment="1"/>
    <xf numFmtId="169" fontId="8" fillId="25" borderId="23" xfId="65" applyNumberFormat="1" applyFill="1" applyBorder="1"/>
    <xf numFmtId="171" fontId="8" fillId="0" borderId="0" xfId="65" applyNumberFormat="1" applyBorder="1"/>
    <xf numFmtId="186" fontId="7" fillId="16" borderId="28" xfId="89" applyNumberFormat="1" applyFont="1" applyFill="1" applyBorder="1" applyAlignment="1">
      <alignment horizontal="center" vertical="center"/>
    </xf>
    <xf numFmtId="4" fontId="7" fillId="16" borderId="28" xfId="89" applyNumberFormat="1" applyFont="1" applyFill="1" applyBorder="1" applyAlignment="1">
      <alignment horizontal="center" vertical="center"/>
    </xf>
    <xf numFmtId="4" fontId="14" fillId="16" borderId="32" xfId="89" applyNumberFormat="1" applyFont="1" applyFill="1" applyBorder="1" applyAlignment="1">
      <alignment vertical="center"/>
    </xf>
    <xf numFmtId="4" fontId="14" fillId="29" borderId="28" xfId="89" applyNumberFormat="1" applyFont="1" applyFill="1" applyBorder="1" applyAlignment="1">
      <alignment vertical="center"/>
    </xf>
    <xf numFmtId="1" fontId="62" fillId="0" borderId="109" xfId="83" applyNumberFormat="1" applyFont="1" applyFill="1" applyBorder="1" applyAlignment="1">
      <alignment horizontal="center" vertical="center"/>
    </xf>
    <xf numFmtId="0" fontId="88" fillId="0" borderId="0" xfId="83" applyFont="1" applyFill="1"/>
    <xf numFmtId="3" fontId="88" fillId="0" borderId="110" xfId="27" applyNumberFormat="1" applyFont="1" applyFill="1" applyBorder="1" applyAlignment="1">
      <alignment horizontal="center" vertical="center"/>
    </xf>
    <xf numFmtId="14" fontId="88" fillId="0" borderId="111" xfId="27" applyNumberFormat="1" applyFont="1" applyFill="1" applyBorder="1" applyAlignment="1">
      <alignment horizontal="center" vertical="center"/>
    </xf>
    <xf numFmtId="0" fontId="91" fillId="0" borderId="42" xfId="83" applyFont="1" applyFill="1" applyBorder="1" applyAlignment="1">
      <alignment horizontal="center"/>
    </xf>
    <xf numFmtId="0" fontId="92" fillId="0" borderId="112" xfId="95" applyFont="1" applyBorder="1" applyAlignment="1">
      <alignment horizontal="center" vertical="center"/>
    </xf>
    <xf numFmtId="0" fontId="62" fillId="0" borderId="113" xfId="96" applyFont="1" applyFill="1" applyBorder="1" applyAlignment="1">
      <alignment horizontal="center"/>
    </xf>
    <xf numFmtId="0" fontId="62" fillId="0" borderId="114" xfId="96" applyFont="1" applyFill="1" applyBorder="1" applyAlignment="1">
      <alignment horizontal="center"/>
    </xf>
    <xf numFmtId="195" fontId="62" fillId="0" borderId="114" xfId="96" applyNumberFormat="1" applyFont="1" applyFill="1" applyBorder="1" applyAlignment="1">
      <alignment horizontal="center"/>
    </xf>
    <xf numFmtId="195" fontId="62" fillId="0" borderId="115" xfId="96" applyNumberFormat="1" applyFont="1" applyFill="1" applyBorder="1" applyAlignment="1">
      <alignment horizontal="center"/>
    </xf>
    <xf numFmtId="195" fontId="62" fillId="0" borderId="113" xfId="96" applyNumberFormat="1" applyFont="1" applyFill="1" applyBorder="1" applyAlignment="1">
      <alignment horizontal="center"/>
    </xf>
    <xf numFmtId="4" fontId="62" fillId="0" borderId="116" xfId="96" applyNumberFormat="1" applyFont="1" applyFill="1" applyBorder="1" applyAlignment="1">
      <alignment horizontal="center"/>
    </xf>
    <xf numFmtId="4" fontId="93" fillId="25" borderId="117" xfId="85" applyNumberFormat="1" applyFont="1" applyFill="1" applyBorder="1"/>
    <xf numFmtId="4" fontId="38" fillId="25" borderId="117" xfId="85" applyNumberFormat="1" applyFont="1" applyFill="1" applyBorder="1"/>
    <xf numFmtId="4" fontId="94" fillId="25" borderId="117" xfId="85" applyNumberFormat="1" applyFont="1" applyFill="1" applyBorder="1" applyAlignment="1">
      <alignment horizontal="center"/>
    </xf>
    <xf numFmtId="196" fontId="94" fillId="25" borderId="118" xfId="85" applyNumberFormat="1" applyFont="1" applyFill="1" applyBorder="1" applyAlignment="1">
      <alignment horizontal="center"/>
    </xf>
    <xf numFmtId="3" fontId="38" fillId="25" borderId="119" xfId="85" applyNumberFormat="1" applyFont="1" applyFill="1" applyBorder="1" applyAlignment="1">
      <alignment horizontal="center"/>
    </xf>
    <xf numFmtId="3" fontId="38" fillId="25" borderId="120" xfId="85" applyNumberFormat="1" applyFont="1" applyFill="1" applyBorder="1" applyAlignment="1">
      <alignment horizontal="center"/>
    </xf>
    <xf numFmtId="4" fontId="38" fillId="25" borderId="120" xfId="85" applyNumberFormat="1" applyFont="1" applyFill="1" applyBorder="1"/>
    <xf numFmtId="4" fontId="38" fillId="25" borderId="121" xfId="85" applyNumberFormat="1" applyFont="1" applyFill="1" applyBorder="1" applyAlignment="1"/>
    <xf numFmtId="195" fontId="38" fillId="25" borderId="119" xfId="84" applyNumberFormat="1" applyFont="1" applyFill="1" applyBorder="1"/>
    <xf numFmtId="4" fontId="38" fillId="25" borderId="122" xfId="83" applyNumberFormat="1" applyFont="1" applyFill="1" applyBorder="1"/>
    <xf numFmtId="195" fontId="19" fillId="25" borderId="123" xfId="83" applyNumberFormat="1" applyFont="1" applyFill="1" applyBorder="1"/>
    <xf numFmtId="0" fontId="38" fillId="0" borderId="0" xfId="83" applyFont="1" applyFill="1"/>
    <xf numFmtId="4" fontId="38" fillId="0" borderId="117" xfId="85" applyNumberFormat="1" applyFont="1" applyFill="1" applyBorder="1"/>
    <xf numFmtId="4" fontId="94" fillId="0" borderId="117" xfId="85" applyNumberFormat="1" applyFont="1" applyFill="1" applyBorder="1" applyAlignment="1">
      <alignment horizontal="center"/>
    </xf>
    <xf numFmtId="196" fontId="94" fillId="0" borderId="118" xfId="85" applyNumberFormat="1" applyFont="1" applyFill="1" applyBorder="1" applyAlignment="1">
      <alignment horizontal="center"/>
    </xf>
    <xf numFmtId="3" fontId="38" fillId="0" borderId="119" xfId="85" applyNumberFormat="1" applyFont="1" applyFill="1" applyBorder="1" applyAlignment="1">
      <alignment horizontal="center"/>
    </xf>
    <xf numFmtId="3" fontId="38" fillId="0" borderId="120" xfId="85" applyNumberFormat="1" applyFont="1" applyFill="1" applyBorder="1" applyAlignment="1">
      <alignment horizontal="center"/>
    </xf>
    <xf numFmtId="4" fontId="38" fillId="0" borderId="120" xfId="85" applyNumberFormat="1" applyFont="1" applyFill="1" applyBorder="1"/>
    <xf numFmtId="4" fontId="38" fillId="0" borderId="121" xfId="85" applyNumberFormat="1" applyFont="1" applyFill="1" applyBorder="1" applyAlignment="1"/>
    <xf numFmtId="195" fontId="38" fillId="0" borderId="119" xfId="84" applyNumberFormat="1" applyFont="1" applyFill="1" applyBorder="1"/>
    <xf numFmtId="4" fontId="38" fillId="0" borderId="122" xfId="83" applyNumberFormat="1" applyFont="1" applyFill="1" applyBorder="1"/>
    <xf numFmtId="195" fontId="19" fillId="0" borderId="123" xfId="83" applyNumberFormat="1" applyFont="1" applyFill="1" applyBorder="1"/>
    <xf numFmtId="4" fontId="93" fillId="25" borderId="124" xfId="85" applyNumberFormat="1" applyFont="1" applyFill="1" applyBorder="1"/>
    <xf numFmtId="4" fontId="39" fillId="0" borderId="124" xfId="85" applyNumberFormat="1" applyFont="1" applyFill="1" applyBorder="1"/>
    <xf numFmtId="4" fontId="38" fillId="0" borderId="124" xfId="85" applyNumberFormat="1" applyFont="1" applyFill="1" applyBorder="1"/>
    <xf numFmtId="4" fontId="93" fillId="25" borderId="125" xfId="85" applyNumberFormat="1" applyFont="1" applyFill="1" applyBorder="1"/>
    <xf numFmtId="4" fontId="38" fillId="25" borderId="126" xfId="85" applyNumberFormat="1" applyFont="1" applyFill="1" applyBorder="1"/>
    <xf numFmtId="4" fontId="94" fillId="25" borderId="126" xfId="85" applyNumberFormat="1" applyFont="1" applyFill="1" applyBorder="1" applyAlignment="1">
      <alignment horizontal="center"/>
    </xf>
    <xf numFmtId="196" fontId="94" fillId="25" borderId="127" xfId="85" applyNumberFormat="1" applyFont="1" applyFill="1" applyBorder="1" applyAlignment="1">
      <alignment horizontal="center"/>
    </xf>
    <xf numFmtId="3" fontId="38" fillId="25" borderId="128" xfId="85" applyNumberFormat="1" applyFont="1" applyFill="1" applyBorder="1" applyAlignment="1">
      <alignment horizontal="center"/>
    </xf>
    <xf numFmtId="3" fontId="38" fillId="25" borderId="129" xfId="85" applyNumberFormat="1" applyFont="1" applyFill="1" applyBorder="1" applyAlignment="1">
      <alignment horizontal="center"/>
    </xf>
    <xf numFmtId="4" fontId="38" fillId="25" borderId="129" xfId="85" applyNumberFormat="1" applyFont="1" applyFill="1" applyBorder="1"/>
    <xf numFmtId="4" fontId="38" fillId="25" borderId="130" xfId="85" applyNumberFormat="1" applyFont="1" applyFill="1" applyBorder="1" applyAlignment="1"/>
    <xf numFmtId="195" fontId="38" fillId="25" borderId="128" xfId="84" applyNumberFormat="1" applyFont="1" applyFill="1" applyBorder="1"/>
    <xf numFmtId="4" fontId="38" fillId="25" borderId="131" xfId="83" applyNumberFormat="1" applyFont="1" applyFill="1" applyBorder="1"/>
    <xf numFmtId="195" fontId="19" fillId="25" borderId="132" xfId="83" applyNumberFormat="1" applyFont="1" applyFill="1" applyBorder="1"/>
    <xf numFmtId="4" fontId="38" fillId="0" borderId="133" xfId="85" applyNumberFormat="1" applyFont="1" applyFill="1" applyBorder="1"/>
    <xf numFmtId="4" fontId="94" fillId="0" borderId="133" xfId="85" applyNumberFormat="1" applyFont="1" applyFill="1" applyBorder="1" applyAlignment="1">
      <alignment horizontal="center"/>
    </xf>
    <xf numFmtId="196" fontId="94" fillId="0" borderId="134" xfId="85" applyNumberFormat="1" applyFont="1" applyFill="1" applyBorder="1" applyAlignment="1">
      <alignment horizontal="center"/>
    </xf>
    <xf numFmtId="3" fontId="38" fillId="0" borderId="135" xfId="85" applyNumberFormat="1" applyFont="1" applyFill="1" applyBorder="1" applyAlignment="1">
      <alignment horizontal="center"/>
    </xf>
    <xf numFmtId="3" fontId="38" fillId="0" borderId="136" xfId="85" applyNumberFormat="1" applyFont="1" applyFill="1" applyBorder="1" applyAlignment="1">
      <alignment horizontal="center"/>
    </xf>
    <xf numFmtId="4" fontId="38" fillId="0" borderId="136" xfId="85" applyNumberFormat="1" applyFont="1" applyFill="1" applyBorder="1"/>
    <xf numFmtId="4" fontId="38" fillId="0" borderId="137" xfId="85" applyNumberFormat="1" applyFont="1" applyFill="1" applyBorder="1" applyAlignment="1"/>
    <xf numFmtId="195" fontId="38" fillId="0" borderId="135" xfId="84" applyNumberFormat="1" applyFont="1" applyFill="1" applyBorder="1"/>
    <xf numFmtId="4" fontId="38" fillId="0" borderId="136" xfId="83" applyNumberFormat="1" applyFont="1" applyFill="1" applyBorder="1"/>
    <xf numFmtId="195" fontId="19" fillId="0" borderId="138" xfId="83" applyNumberFormat="1" applyFont="1" applyFill="1" applyBorder="1"/>
    <xf numFmtId="4" fontId="19" fillId="0" borderId="124" xfId="85" applyNumberFormat="1" applyFont="1" applyFill="1" applyBorder="1"/>
    <xf numFmtId="195" fontId="62" fillId="0" borderId="139" xfId="83" applyNumberFormat="1" applyFont="1" applyFill="1" applyBorder="1" applyAlignment="1">
      <alignment horizontal="right" vertical="center"/>
    </xf>
    <xf numFmtId="195" fontId="62" fillId="0" borderId="140" xfId="83" applyNumberFormat="1" applyFont="1" applyFill="1" applyBorder="1" applyAlignment="1">
      <alignment horizontal="right" vertical="center"/>
    </xf>
    <xf numFmtId="195" fontId="62" fillId="0" borderId="112" xfId="83" applyNumberFormat="1" applyFont="1" applyFill="1" applyBorder="1" applyAlignment="1">
      <alignment horizontal="right" vertical="center"/>
    </xf>
    <xf numFmtId="195" fontId="62" fillId="0" borderId="141" xfId="83" applyNumberFormat="1" applyFont="1" applyFill="1" applyBorder="1" applyAlignment="1">
      <alignment horizontal="right" vertical="center"/>
    </xf>
    <xf numFmtId="195" fontId="62" fillId="0" borderId="142" xfId="83" applyNumberFormat="1" applyFont="1" applyFill="1" applyBorder="1" applyAlignment="1">
      <alignment horizontal="right" vertical="center"/>
    </xf>
    <xf numFmtId="195" fontId="7" fillId="0" borderId="143" xfId="83" applyNumberFormat="1" applyFont="1" applyFill="1" applyBorder="1" applyAlignment="1">
      <alignment horizontal="right" vertical="center"/>
    </xf>
    <xf numFmtId="0" fontId="88" fillId="0" borderId="0" xfId="84" applyFont="1" applyFill="1"/>
    <xf numFmtId="195" fontId="88" fillId="0" borderId="0" xfId="84" applyNumberFormat="1" applyFont="1" applyFill="1"/>
    <xf numFmtId="4" fontId="7" fillId="0" borderId="30" xfId="89" applyNumberFormat="1" applyFont="1" applyFill="1" applyBorder="1" applyAlignment="1">
      <alignment horizontal="center" vertical="center"/>
    </xf>
    <xf numFmtId="0" fontId="88" fillId="31" borderId="0" xfId="83" applyFont="1" applyFill="1"/>
    <xf numFmtId="4" fontId="38" fillId="31" borderId="122" xfId="83" applyNumberFormat="1" applyFont="1" applyFill="1" applyBorder="1"/>
    <xf numFmtId="195" fontId="38" fillId="31" borderId="119" xfId="84" applyNumberFormat="1" applyFont="1" applyFill="1" applyBorder="1"/>
    <xf numFmtId="4" fontId="38" fillId="31" borderId="121" xfId="85" applyNumberFormat="1" applyFont="1" applyFill="1" applyBorder="1" applyAlignment="1"/>
    <xf numFmtId="4" fontId="38" fillId="31" borderId="120" xfId="85" applyNumberFormat="1" applyFont="1" applyFill="1" applyBorder="1" applyAlignment="1"/>
    <xf numFmtId="3" fontId="38" fillId="31" borderId="120" xfId="85" applyNumberFormat="1" applyFont="1" applyFill="1" applyBorder="1" applyAlignment="1">
      <alignment horizontal="center"/>
    </xf>
    <xf numFmtId="3" fontId="38" fillId="31" borderId="119" xfId="85" applyNumberFormat="1" applyFont="1" applyFill="1" applyBorder="1" applyAlignment="1">
      <alignment horizontal="center"/>
    </xf>
    <xf numFmtId="4" fontId="96" fillId="31" borderId="118" xfId="85" applyNumberFormat="1" applyFont="1" applyFill="1" applyBorder="1" applyAlignment="1">
      <alignment horizontal="center"/>
    </xf>
    <xf numFmtId="4" fontId="38" fillId="31" borderId="117" xfId="85" applyNumberFormat="1" applyFont="1" applyFill="1" applyBorder="1" applyAlignment="1">
      <alignment horizontal="center"/>
    </xf>
    <xf numFmtId="4" fontId="38" fillId="31" borderId="117" xfId="85" applyNumberFormat="1" applyFont="1" applyFill="1" applyBorder="1"/>
    <xf numFmtId="0" fontId="98" fillId="31" borderId="124" xfId="79" applyFont="1" applyFill="1" applyBorder="1" applyAlignment="1">
      <alignment horizontal="left"/>
    </xf>
    <xf numFmtId="4" fontId="19" fillId="0" borderId="117" xfId="85" applyNumberFormat="1" applyFont="1" applyFill="1" applyBorder="1"/>
    <xf numFmtId="195" fontId="62" fillId="31" borderId="112" xfId="83" applyNumberFormat="1" applyFont="1" applyFill="1" applyBorder="1"/>
    <xf numFmtId="0" fontId="99" fillId="0" borderId="0" xfId="91" applyFont="1" applyFill="1" applyAlignment="1">
      <alignment horizontal="center" vertical="center"/>
    </xf>
    <xf numFmtId="0" fontId="99" fillId="0" borderId="0" xfId="91" applyFont="1" applyFill="1" applyAlignment="1">
      <alignment horizontal="center" vertical="center" shrinkToFit="1"/>
    </xf>
    <xf numFmtId="4" fontId="99" fillId="0" borderId="0" xfId="91" applyNumberFormat="1" applyFont="1" applyFill="1" applyAlignment="1">
      <alignment horizontal="center" vertical="center"/>
    </xf>
    <xf numFmtId="0" fontId="99" fillId="0" borderId="0" xfId="91" applyFont="1" applyFill="1" applyBorder="1" applyAlignment="1">
      <alignment horizontal="center" vertical="center"/>
    </xf>
    <xf numFmtId="186" fontId="99" fillId="0" borderId="0" xfId="91" applyNumberFormat="1" applyFont="1" applyFill="1" applyBorder="1" applyAlignment="1">
      <alignment horizontal="center" vertical="center"/>
    </xf>
    <xf numFmtId="195" fontId="66" fillId="0" borderId="0" xfId="91" applyNumberFormat="1" applyFont="1" applyFill="1" applyBorder="1" applyAlignment="1">
      <alignment horizontal="center" vertical="center"/>
    </xf>
    <xf numFmtId="0" fontId="8" fillId="0" borderId="0" xfId="91" applyFill="1" applyBorder="1" applyAlignment="1">
      <alignment horizontal="center" vertical="center"/>
    </xf>
    <xf numFmtId="4" fontId="8" fillId="0" borderId="0" xfId="91" applyNumberFormat="1" applyFill="1" applyBorder="1" applyAlignment="1">
      <alignment horizontal="center" vertical="center"/>
    </xf>
    <xf numFmtId="186" fontId="97" fillId="0" borderId="0" xfId="91" applyNumberFormat="1" applyFont="1" applyFill="1" applyAlignment="1">
      <alignment horizontal="center" vertical="center"/>
    </xf>
    <xf numFmtId="195" fontId="99" fillId="0" borderId="0" xfId="91" applyNumberFormat="1" applyFont="1" applyFill="1" applyBorder="1" applyAlignment="1">
      <alignment horizontal="center" vertical="center"/>
    </xf>
    <xf numFmtId="4" fontId="99" fillId="0" borderId="0" xfId="91" applyNumberFormat="1" applyFont="1" applyFill="1" applyBorder="1" applyAlignment="1">
      <alignment horizontal="center" vertical="center"/>
    </xf>
    <xf numFmtId="186" fontId="100" fillId="0" borderId="0" xfId="91" applyNumberFormat="1" applyFont="1" applyFill="1" applyBorder="1" applyAlignment="1">
      <alignment horizontal="center" vertical="center"/>
    </xf>
    <xf numFmtId="4" fontId="100" fillId="0" borderId="0" xfId="91" applyNumberFormat="1" applyFont="1" applyFill="1" applyBorder="1" applyAlignment="1">
      <alignment horizontal="center" vertical="center"/>
    </xf>
    <xf numFmtId="4" fontId="101" fillId="0" borderId="0" xfId="91" applyNumberFormat="1" applyFont="1" applyFill="1" applyBorder="1" applyAlignment="1">
      <alignment horizontal="center" vertical="center"/>
    </xf>
    <xf numFmtId="3" fontId="101" fillId="0" borderId="0" xfId="91" applyNumberFormat="1" applyFont="1" applyFill="1" applyBorder="1" applyAlignment="1">
      <alignment horizontal="center" vertical="center"/>
    </xf>
    <xf numFmtId="186" fontId="99" fillId="0" borderId="47" xfId="91" applyNumberFormat="1" applyFont="1" applyFill="1" applyBorder="1" applyAlignment="1">
      <alignment horizontal="center" vertical="center"/>
    </xf>
    <xf numFmtId="4" fontId="8" fillId="0" borderId="47" xfId="91" applyNumberFormat="1" applyFont="1" applyFill="1" applyBorder="1" applyAlignment="1">
      <alignment horizontal="right" vertical="center"/>
    </xf>
    <xf numFmtId="0" fontId="8" fillId="0" borderId="41" xfId="91" applyFill="1" applyBorder="1" applyAlignment="1">
      <alignment horizontal="center" vertical="center"/>
    </xf>
    <xf numFmtId="186" fontId="99" fillId="0" borderId="41" xfId="91" applyNumberFormat="1" applyFont="1" applyFill="1" applyBorder="1" applyAlignment="1">
      <alignment horizontal="center" vertical="center"/>
    </xf>
    <xf numFmtId="0" fontId="99" fillId="0" borderId="40" xfId="91" applyFont="1" applyFill="1" applyBorder="1" applyAlignment="1">
      <alignment horizontal="center" vertical="center"/>
    </xf>
    <xf numFmtId="186" fontId="99" fillId="0" borderId="59" xfId="91" applyNumberFormat="1" applyFont="1" applyFill="1" applyBorder="1" applyAlignment="1">
      <alignment horizontal="center" vertical="center"/>
    </xf>
    <xf numFmtId="186" fontId="99" fillId="0" borderId="144" xfId="91" applyNumberFormat="1" applyFont="1" applyFill="1" applyBorder="1" applyAlignment="1">
      <alignment horizontal="center" vertical="center"/>
    </xf>
    <xf numFmtId="4" fontId="8" fillId="0" borderId="59" xfId="91" applyNumberFormat="1" applyFont="1" applyFill="1" applyBorder="1" applyAlignment="1">
      <alignment horizontal="right" vertical="center"/>
    </xf>
    <xf numFmtId="0" fontId="99" fillId="0" borderId="61" xfId="91" applyFont="1" applyFill="1" applyBorder="1" applyAlignment="1">
      <alignment horizontal="center" vertical="center"/>
    </xf>
    <xf numFmtId="195" fontId="99" fillId="0" borderId="145" xfId="91" applyNumberFormat="1" applyFont="1" applyFill="1" applyBorder="1" applyAlignment="1">
      <alignment horizontal="center" vertical="center"/>
    </xf>
    <xf numFmtId="195" fontId="99" fillId="0" borderId="146" xfId="91" applyNumberFormat="1" applyFont="1" applyFill="1" applyBorder="1" applyAlignment="1">
      <alignment horizontal="center" vertical="center"/>
    </xf>
    <xf numFmtId="4" fontId="99" fillId="0" borderId="147" xfId="91" applyNumberFormat="1" applyFont="1" applyFill="1" applyBorder="1" applyAlignment="1">
      <alignment horizontal="center" vertical="center"/>
    </xf>
    <xf numFmtId="4" fontId="8" fillId="0" borderId="74" xfId="91" applyNumberFormat="1" applyFont="1" applyFill="1" applyBorder="1" applyAlignment="1">
      <alignment horizontal="right" vertical="center"/>
    </xf>
    <xf numFmtId="0" fontId="8" fillId="0" borderId="100" xfId="91" applyFill="1" applyBorder="1" applyAlignment="1">
      <alignment horizontal="center" vertical="center"/>
    </xf>
    <xf numFmtId="186" fontId="99" fillId="0" borderId="100" xfId="91" applyNumberFormat="1" applyFont="1" applyFill="1" applyBorder="1" applyAlignment="1">
      <alignment horizontal="center" vertical="center"/>
    </xf>
    <xf numFmtId="0" fontId="99" fillId="0" borderId="99" xfId="91" applyFont="1" applyFill="1" applyBorder="1" applyAlignment="1">
      <alignment horizontal="center" vertical="center"/>
    </xf>
    <xf numFmtId="0" fontId="97" fillId="0" borderId="0" xfId="91" applyFont="1" applyFill="1" applyAlignment="1">
      <alignment horizontal="center" vertical="center"/>
    </xf>
    <xf numFmtId="186" fontId="97" fillId="0" borderId="110" xfId="91" applyNumberFormat="1" applyFont="1" applyFill="1" applyBorder="1" applyAlignment="1">
      <alignment horizontal="center" vertical="center"/>
    </xf>
    <xf numFmtId="4" fontId="88" fillId="0" borderId="123" xfId="91" applyNumberFormat="1" applyFont="1" applyFill="1" applyBorder="1" applyAlignment="1">
      <alignment horizontal="center" vertical="center"/>
    </xf>
    <xf numFmtId="4" fontId="88" fillId="0" borderId="120" xfId="91" applyNumberFormat="1" applyFont="1" applyFill="1" applyBorder="1" applyAlignment="1">
      <alignment horizontal="center" vertical="center"/>
    </xf>
    <xf numFmtId="4" fontId="88" fillId="0" borderId="148" xfId="91" applyNumberFormat="1" applyFont="1" applyFill="1" applyBorder="1" applyAlignment="1">
      <alignment horizontal="center" vertical="center"/>
    </xf>
    <xf numFmtId="4" fontId="8" fillId="0" borderId="145" xfId="91" applyNumberFormat="1" applyFont="1" applyFill="1" applyBorder="1" applyAlignment="1">
      <alignment horizontal="center" vertical="center"/>
    </xf>
    <xf numFmtId="3" fontId="8" fillId="0" borderId="146" xfId="91" applyNumberFormat="1" applyFont="1" applyFill="1" applyBorder="1" applyAlignment="1">
      <alignment horizontal="center" vertical="center"/>
    </xf>
    <xf numFmtId="3" fontId="101" fillId="0" borderId="146" xfId="91" applyNumberFormat="1" applyFont="1" applyFill="1" applyBorder="1" applyAlignment="1">
      <alignment horizontal="center" vertical="center"/>
    </xf>
    <xf numFmtId="3" fontId="103" fillId="0" borderId="146" xfId="91" applyNumberFormat="1" applyFont="1" applyFill="1" applyBorder="1" applyAlignment="1">
      <alignment horizontal="center" vertical="center"/>
    </xf>
    <xf numFmtId="186" fontId="8" fillId="0" borderId="149" xfId="91" applyNumberFormat="1" applyFont="1" applyFill="1" applyBorder="1" applyAlignment="1">
      <alignment horizontal="left" vertical="center"/>
    </xf>
    <xf numFmtId="0" fontId="62" fillId="0" borderId="124" xfId="91" applyFont="1" applyFill="1" applyBorder="1" applyAlignment="1">
      <alignment horizontal="center" vertical="center"/>
    </xf>
    <xf numFmtId="186" fontId="8" fillId="0" borderId="72" xfId="91" applyNumberFormat="1" applyFont="1" applyFill="1" applyBorder="1" applyAlignment="1">
      <alignment horizontal="left" vertical="center"/>
    </xf>
    <xf numFmtId="0" fontId="19" fillId="0" borderId="124" xfId="91" applyFont="1" applyFill="1" applyBorder="1" applyAlignment="1">
      <alignment horizontal="center" vertical="center"/>
    </xf>
    <xf numFmtId="186" fontId="63" fillId="0" borderId="149" xfId="91" applyNumberFormat="1" applyFont="1" applyFill="1" applyBorder="1" applyAlignment="1">
      <alignment horizontal="left" vertical="center"/>
    </xf>
    <xf numFmtId="4" fontId="8" fillId="0" borderId="150" xfId="91" applyNumberFormat="1" applyFont="1" applyFill="1" applyBorder="1" applyAlignment="1">
      <alignment horizontal="center" vertical="center"/>
    </xf>
    <xf numFmtId="186" fontId="104" fillId="0" borderId="72" xfId="91" applyNumberFormat="1" applyFont="1" applyFill="1" applyBorder="1" applyAlignment="1">
      <alignment horizontal="center" vertical="center"/>
    </xf>
    <xf numFmtId="186" fontId="105" fillId="0" borderId="72" xfId="91" applyNumberFormat="1" applyFont="1" applyFill="1" applyBorder="1" applyAlignment="1">
      <alignment horizontal="left" vertical="center"/>
    </xf>
    <xf numFmtId="186" fontId="97" fillId="0" borderId="26" xfId="91" applyNumberFormat="1" applyFont="1" applyFill="1" applyBorder="1" applyAlignment="1">
      <alignment horizontal="center" vertical="center"/>
    </xf>
    <xf numFmtId="4" fontId="88" fillId="0" borderId="151" xfId="91" applyNumberFormat="1" applyFont="1" applyFill="1" applyBorder="1" applyAlignment="1">
      <alignment horizontal="center" vertical="center"/>
    </xf>
    <xf numFmtId="4" fontId="88" fillId="0" borderId="152" xfId="91" applyNumberFormat="1" applyFont="1" applyFill="1" applyBorder="1" applyAlignment="1">
      <alignment horizontal="center" vertical="center"/>
    </xf>
    <xf numFmtId="4" fontId="88" fillId="0" borderId="153" xfId="91" applyNumberFormat="1" applyFont="1" applyFill="1" applyBorder="1" applyAlignment="1">
      <alignment horizontal="center" vertical="center"/>
    </xf>
    <xf numFmtId="195" fontId="8" fillId="0" borderId="26" xfId="91" applyNumberFormat="1" applyFont="1" applyFill="1" applyBorder="1" applyAlignment="1">
      <alignment horizontal="right" vertical="center"/>
    </xf>
    <xf numFmtId="3" fontId="8" fillId="0" borderId="8" xfId="91" applyNumberFormat="1" applyFont="1" applyFill="1" applyBorder="1" applyAlignment="1">
      <alignment horizontal="center" vertical="center"/>
    </xf>
    <xf numFmtId="3" fontId="103" fillId="0" borderId="8" xfId="91" applyNumberFormat="1" applyFont="1" applyFill="1" applyBorder="1" applyAlignment="1">
      <alignment horizontal="center" vertical="center"/>
    </xf>
    <xf numFmtId="186" fontId="8" fillId="0" borderId="8" xfId="91" applyNumberFormat="1" applyFont="1" applyFill="1" applyBorder="1" applyAlignment="1">
      <alignment horizontal="center" vertical="center"/>
    </xf>
    <xf numFmtId="0" fontId="19" fillId="0" borderId="25" xfId="91" applyFont="1" applyFill="1" applyBorder="1" applyAlignment="1">
      <alignment horizontal="center" vertical="center"/>
    </xf>
    <xf numFmtId="186" fontId="106" fillId="0" borderId="72" xfId="91" applyNumberFormat="1" applyFont="1" applyFill="1" applyBorder="1" applyAlignment="1">
      <alignment horizontal="left" vertical="center"/>
    </xf>
    <xf numFmtId="0" fontId="107" fillId="0" borderId="44" xfId="91" applyFont="1" applyFill="1" applyBorder="1" applyAlignment="1">
      <alignment horizontal="center" vertical="center"/>
    </xf>
    <xf numFmtId="0" fontId="107" fillId="0" borderId="44" xfId="91" applyFont="1" applyFill="1" applyBorder="1" applyAlignment="1">
      <alignment horizontal="center" vertical="center" shrinkToFit="1"/>
    </xf>
    <xf numFmtId="4" fontId="108" fillId="0" borderId="97" xfId="91" applyNumberFormat="1" applyFont="1" applyFill="1" applyBorder="1" applyAlignment="1">
      <alignment horizontal="center" vertical="center" wrapText="1"/>
    </xf>
    <xf numFmtId="0" fontId="108" fillId="0" borderId="16" xfId="91" applyFont="1" applyFill="1" applyBorder="1" applyAlignment="1">
      <alignment horizontal="center" vertical="center"/>
    </xf>
    <xf numFmtId="0" fontId="108" fillId="0" borderId="15" xfId="91" applyFont="1" applyFill="1" applyBorder="1" applyAlignment="1">
      <alignment horizontal="center" vertical="center"/>
    </xf>
    <xf numFmtId="173" fontId="99" fillId="0" borderId="73" xfId="91" applyNumberFormat="1" applyFont="1" applyFill="1" applyBorder="1" applyAlignment="1">
      <alignment horizontal="center" vertical="center"/>
    </xf>
    <xf numFmtId="173" fontId="99" fillId="0" borderId="73" xfId="91" applyNumberFormat="1" applyFont="1" applyFill="1" applyBorder="1" applyAlignment="1">
      <alignment horizontal="center" vertical="center" shrinkToFit="1"/>
    </xf>
    <xf numFmtId="0" fontId="99" fillId="0" borderId="26" xfId="91" applyFont="1" applyFill="1" applyBorder="1" applyAlignment="1">
      <alignment horizontal="center" vertical="center"/>
    </xf>
    <xf numFmtId="0" fontId="1" fillId="0" borderId="0" xfId="78"/>
    <xf numFmtId="0" fontId="1" fillId="0" borderId="47" xfId="78" applyBorder="1"/>
    <xf numFmtId="0" fontId="1" fillId="0" borderId="41" xfId="78" applyBorder="1"/>
    <xf numFmtId="0" fontId="1" fillId="0" borderId="40" xfId="78" applyBorder="1"/>
    <xf numFmtId="0" fontId="1" fillId="0" borderId="59" xfId="78" applyBorder="1"/>
    <xf numFmtId="0" fontId="1" fillId="0" borderId="0" xfId="78" applyBorder="1"/>
    <xf numFmtId="0" fontId="1" fillId="0" borderId="61" xfId="78" applyBorder="1"/>
    <xf numFmtId="0" fontId="5" fillId="0" borderId="0" xfId="78" applyFont="1" applyBorder="1" applyAlignment="1">
      <alignment horizontal="right"/>
    </xf>
    <xf numFmtId="0" fontId="5" fillId="0" borderId="59" xfId="78" applyFont="1" applyBorder="1"/>
    <xf numFmtId="4" fontId="5" fillId="0" borderId="0" xfId="78" applyNumberFormat="1" applyFont="1" applyBorder="1"/>
    <xf numFmtId="0" fontId="5" fillId="0" borderId="61" xfId="78" applyFont="1" applyBorder="1"/>
    <xf numFmtId="0" fontId="25" fillId="0" borderId="61" xfId="78" applyFont="1" applyBorder="1"/>
    <xf numFmtId="4" fontId="5" fillId="0" borderId="41" xfId="78" applyNumberFormat="1" applyFont="1" applyBorder="1"/>
    <xf numFmtId="0" fontId="5" fillId="0" borderId="41" xfId="78" applyFont="1" applyBorder="1" applyAlignment="1">
      <alignment horizontal="right"/>
    </xf>
    <xf numFmtId="0" fontId="6" fillId="0" borderId="26" xfId="78" applyFont="1" applyBorder="1"/>
    <xf numFmtId="4" fontId="6" fillId="0" borderId="8" xfId="78" applyNumberFormat="1" applyFont="1" applyBorder="1"/>
    <xf numFmtId="0" fontId="6" fillId="0" borderId="8" xfId="78" applyFont="1" applyBorder="1" applyAlignment="1">
      <alignment horizontal="right"/>
    </xf>
    <xf numFmtId="0" fontId="111" fillId="0" borderId="8" xfId="78" applyFont="1" applyBorder="1"/>
    <xf numFmtId="0" fontId="6" fillId="0" borderId="25" xfId="78" applyFont="1" applyBorder="1"/>
    <xf numFmtId="0" fontId="6" fillId="0" borderId="59" xfId="78" applyFont="1" applyBorder="1"/>
    <xf numFmtId="4" fontId="6" fillId="0" borderId="0" xfId="78" applyNumberFormat="1" applyFont="1" applyBorder="1"/>
    <xf numFmtId="0" fontId="6" fillId="0" borderId="0" xfId="78" applyFont="1" applyBorder="1" applyAlignment="1">
      <alignment horizontal="right"/>
    </xf>
    <xf numFmtId="0" fontId="111" fillId="0" borderId="0" xfId="78" applyFont="1" applyBorder="1"/>
    <xf numFmtId="0" fontId="5" fillId="0" borderId="59" xfId="78" applyFont="1" applyBorder="1" applyAlignment="1">
      <alignment horizontal="center"/>
    </xf>
    <xf numFmtId="4" fontId="5" fillId="0" borderId="0" xfId="78" applyNumberFormat="1" applyFont="1" applyBorder="1" applyAlignment="1">
      <alignment horizontal="center"/>
    </xf>
    <xf numFmtId="4" fontId="113" fillId="0" borderId="0" xfId="78" applyNumberFormat="1" applyFont="1" applyBorder="1" applyAlignment="1">
      <alignment horizontal="center"/>
    </xf>
    <xf numFmtId="4" fontId="114" fillId="0" borderId="0" xfId="78" applyNumberFormat="1" applyFont="1" applyBorder="1" applyAlignment="1">
      <alignment horizontal="center"/>
    </xf>
    <xf numFmtId="0" fontId="5" fillId="0" borderId="0" xfId="78" applyFont="1"/>
    <xf numFmtId="4" fontId="5" fillId="0" borderId="0" xfId="78" applyNumberFormat="1" applyFont="1"/>
    <xf numFmtId="0" fontId="5" fillId="0" borderId="0" xfId="78" applyFont="1" applyAlignment="1">
      <alignment horizontal="right"/>
    </xf>
    <xf numFmtId="2" fontId="112" fillId="0" borderId="0" xfId="88" applyNumberFormat="1" applyFont="1" applyFill="1" applyBorder="1" applyAlignment="1">
      <alignment horizontal="center"/>
    </xf>
    <xf numFmtId="4" fontId="1" fillId="0" borderId="0" xfId="78" applyNumberFormat="1"/>
    <xf numFmtId="4" fontId="38" fillId="40" borderId="124" xfId="85" applyNumberFormat="1" applyFont="1" applyFill="1" applyBorder="1"/>
    <xf numFmtId="4" fontId="38" fillId="40" borderId="117" xfId="85" applyNumberFormat="1" applyFont="1" applyFill="1" applyBorder="1"/>
    <xf numFmtId="4" fontId="94" fillId="40" borderId="117" xfId="85" applyNumberFormat="1" applyFont="1" applyFill="1" applyBorder="1" applyAlignment="1">
      <alignment horizontal="center"/>
    </xf>
    <xf numFmtId="196" fontId="94" fillId="40" borderId="118" xfId="85" applyNumberFormat="1" applyFont="1" applyFill="1" applyBorder="1" applyAlignment="1">
      <alignment horizontal="center"/>
    </xf>
    <xf numFmtId="3" fontId="62" fillId="0" borderId="110" xfId="123" applyNumberFormat="1" applyFont="1" applyFill="1" applyBorder="1" applyAlignment="1">
      <alignment horizontal="center" vertical="center"/>
    </xf>
    <xf numFmtId="14" fontId="62" fillId="0" borderId="111" xfId="123" applyNumberFormat="1" applyFont="1" applyFill="1" applyBorder="1" applyAlignment="1">
      <alignment horizontal="center" vertical="center"/>
    </xf>
    <xf numFmtId="0" fontId="95" fillId="0" borderId="112" xfId="95" applyFont="1" applyBorder="1" applyAlignment="1">
      <alignment horizontal="center" vertical="center"/>
    </xf>
    <xf numFmtId="0" fontId="62" fillId="0" borderId="0" xfId="84" applyFont="1" applyFill="1"/>
    <xf numFmtId="0" fontId="5" fillId="0" borderId="40" xfId="78" applyFont="1" applyBorder="1"/>
    <xf numFmtId="0" fontId="5" fillId="0" borderId="47" xfId="78" applyFont="1" applyBorder="1"/>
    <xf numFmtId="0" fontId="88" fillId="42" borderId="0" xfId="84" applyFont="1" applyFill="1"/>
    <xf numFmtId="4" fontId="38" fillId="0" borderId="121" xfId="85" applyNumberFormat="1" applyFont="1" applyFill="1" applyBorder="1"/>
    <xf numFmtId="4" fontId="39" fillId="0" borderId="120" xfId="85" applyNumberFormat="1" applyFont="1" applyFill="1" applyBorder="1"/>
    <xf numFmtId="0" fontId="129" fillId="0" borderId="0" xfId="86" applyFont="1" applyFill="1"/>
    <xf numFmtId="0" fontId="129" fillId="0" borderId="0" xfId="86" applyFont="1" applyFill="1" applyBorder="1" applyAlignment="1">
      <alignment horizontal="center" vertical="top"/>
    </xf>
    <xf numFmtId="0" fontId="130" fillId="0" borderId="0" xfId="86" applyFont="1" applyFill="1" applyBorder="1" applyAlignment="1">
      <alignment vertical="top" wrapText="1"/>
    </xf>
    <xf numFmtId="3" fontId="130" fillId="0" borderId="0" xfId="86" applyNumberFormat="1" applyFont="1" applyFill="1" applyBorder="1" applyAlignment="1">
      <alignment horizontal="center"/>
    </xf>
    <xf numFmtId="0" fontId="130" fillId="0" borderId="0" xfId="86" applyFont="1" applyFill="1" applyBorder="1" applyAlignment="1">
      <alignment horizontal="center"/>
    </xf>
    <xf numFmtId="39" fontId="130" fillId="0" borderId="0" xfId="86" applyNumberFormat="1" applyFont="1" applyFill="1" applyBorder="1" applyAlignment="1">
      <alignment horizontal="center"/>
    </xf>
    <xf numFmtId="0" fontId="131" fillId="0" borderId="0" xfId="127" applyFont="1" applyFill="1" applyBorder="1" applyAlignment="1">
      <alignment vertical="center" wrapText="1"/>
    </xf>
    <xf numFmtId="0" fontId="133" fillId="0" borderId="0" xfId="0" applyFont="1"/>
    <xf numFmtId="0" fontId="134" fillId="0" borderId="10" xfId="127" applyFont="1" applyFill="1" applyBorder="1" applyAlignment="1">
      <alignment horizontal="center" vertical="center"/>
    </xf>
    <xf numFmtId="0" fontId="136" fillId="0" borderId="10" xfId="88" applyFont="1" applyFill="1" applyBorder="1" applyAlignment="1">
      <alignment horizontal="left" vertical="center"/>
    </xf>
    <xf numFmtId="0" fontId="133" fillId="0" borderId="10" xfId="127" applyFont="1" applyBorder="1" applyAlignment="1">
      <alignment horizontal="center" vertical="center"/>
    </xf>
    <xf numFmtId="0" fontId="133" fillId="0" borderId="10" xfId="127" applyFont="1" applyFill="1" applyBorder="1" applyAlignment="1">
      <alignment horizontal="center" vertical="center"/>
    </xf>
    <xf numFmtId="0" fontId="136" fillId="25" borderId="31" xfId="88" applyFont="1" applyFill="1" applyBorder="1" applyAlignment="1">
      <alignment horizontal="center" vertical="center"/>
    </xf>
    <xf numFmtId="0" fontId="135" fillId="25" borderId="23" xfId="88" applyFont="1" applyFill="1" applyBorder="1" applyAlignment="1">
      <alignment horizontal="left" vertical="center" wrapText="1"/>
    </xf>
    <xf numFmtId="3" fontId="135" fillId="25" borderId="23" xfId="88" applyNumberFormat="1" applyFont="1" applyFill="1" applyBorder="1" applyAlignment="1">
      <alignment horizontal="center" vertical="center"/>
    </xf>
    <xf numFmtId="0" fontId="135" fillId="25" borderId="23" xfId="88" applyFont="1" applyFill="1" applyBorder="1" applyAlignment="1">
      <alignment horizontal="center" vertical="center"/>
    </xf>
    <xf numFmtId="0" fontId="135" fillId="25" borderId="98" xfId="88" applyFont="1" applyFill="1" applyBorder="1" applyAlignment="1">
      <alignment horizontal="center" vertical="center"/>
    </xf>
    <xf numFmtId="39" fontId="135" fillId="25" borderId="24" xfId="88" applyNumberFormat="1" applyFont="1" applyFill="1" applyBorder="1" applyAlignment="1">
      <alignment horizontal="center" vertical="center" wrapText="1"/>
    </xf>
    <xf numFmtId="0" fontId="136" fillId="22" borderId="31" xfId="88" applyFont="1" applyFill="1" applyBorder="1" applyAlignment="1">
      <alignment horizontal="center" vertical="center"/>
    </xf>
    <xf numFmtId="14" fontId="137" fillId="22" borderId="10" xfId="71" applyFont="1" applyFill="1" applyBorder="1" applyAlignment="1">
      <alignment horizontal="left" vertical="center" wrapText="1"/>
    </xf>
    <xf numFmtId="3" fontId="130" fillId="22" borderId="23" xfId="88" applyNumberFormat="1" applyFont="1" applyFill="1" applyBorder="1" applyAlignment="1">
      <alignment horizontal="center" vertical="center"/>
    </xf>
    <xf numFmtId="0" fontId="130" fillId="22" borderId="23" xfId="88" applyFont="1" applyFill="1" applyBorder="1" applyAlignment="1">
      <alignment horizontal="center" vertical="center"/>
    </xf>
    <xf numFmtId="0" fontId="130" fillId="22" borderId="98" xfId="88" applyFont="1" applyFill="1" applyBorder="1" applyAlignment="1">
      <alignment horizontal="center" vertical="center"/>
    </xf>
    <xf numFmtId="39" fontId="130" fillId="22" borderId="24" xfId="88" applyNumberFormat="1" applyFont="1" applyFill="1" applyBorder="1" applyAlignment="1">
      <alignment horizontal="center" vertical="center" wrapText="1"/>
    </xf>
    <xf numFmtId="0" fontId="129" fillId="0" borderId="31" xfId="88" applyFont="1" applyFill="1" applyBorder="1" applyAlignment="1">
      <alignment horizontal="center" vertical="center"/>
    </xf>
    <xf numFmtId="14" fontId="130" fillId="0" borderId="10" xfId="71" applyFont="1" applyFill="1" applyBorder="1" applyAlignment="1">
      <alignment horizontal="left" vertical="center" wrapText="1"/>
    </xf>
    <xf numFmtId="4" fontId="130" fillId="0" borderId="23" xfId="88" applyNumberFormat="1" applyFont="1" applyFill="1" applyBorder="1" applyAlignment="1">
      <alignment horizontal="center" vertical="center"/>
    </xf>
    <xf numFmtId="0" fontId="130" fillId="0" borderId="10" xfId="88" applyFont="1" applyFill="1" applyBorder="1" applyAlignment="1">
      <alignment horizontal="center" vertical="center"/>
    </xf>
    <xf numFmtId="44" fontId="130" fillId="0" borderId="98" xfId="135" applyFont="1" applyFill="1" applyBorder="1" applyAlignment="1">
      <alignment horizontal="center" vertical="center"/>
    </xf>
    <xf numFmtId="197" fontId="130" fillId="0" borderId="24" xfId="88" applyNumberFormat="1" applyFont="1" applyFill="1" applyBorder="1" applyAlignment="1">
      <alignment horizontal="center" vertical="center" wrapText="1"/>
    </xf>
    <xf numFmtId="4" fontId="130" fillId="22" borderId="23" xfId="88" applyNumberFormat="1" applyFont="1" applyFill="1" applyBorder="1" applyAlignment="1">
      <alignment horizontal="center" vertical="center"/>
    </xf>
    <xf numFmtId="0" fontId="129" fillId="0" borderId="13" xfId="88" applyFont="1" applyFill="1" applyBorder="1" applyAlignment="1">
      <alignment horizontal="center" vertical="center"/>
    </xf>
    <xf numFmtId="4" fontId="130" fillId="0" borderId="10" xfId="88" applyNumberFormat="1" applyFont="1" applyFill="1" applyBorder="1" applyAlignment="1">
      <alignment horizontal="center" vertical="center"/>
    </xf>
    <xf numFmtId="197" fontId="130" fillId="0" borderId="98" xfId="88" applyNumberFormat="1" applyFont="1" applyFill="1" applyBorder="1" applyAlignment="1">
      <alignment horizontal="center" vertical="center"/>
    </xf>
    <xf numFmtId="0" fontId="136" fillId="22" borderId="13" xfId="88" applyFont="1" applyFill="1" applyBorder="1" applyAlignment="1">
      <alignment horizontal="center" vertical="center"/>
    </xf>
    <xf numFmtId="3" fontId="130" fillId="22" borderId="10" xfId="88" applyNumberFormat="1" applyFont="1" applyFill="1" applyBorder="1" applyAlignment="1">
      <alignment horizontal="center" vertical="center"/>
    </xf>
    <xf numFmtId="0" fontId="130" fillId="22" borderId="10" xfId="88" applyFont="1" applyFill="1" applyBorder="1" applyAlignment="1">
      <alignment horizontal="center" vertical="center"/>
    </xf>
    <xf numFmtId="0" fontId="130" fillId="22" borderId="69" xfId="88" applyFont="1" applyFill="1" applyBorder="1" applyAlignment="1">
      <alignment horizontal="center" vertical="center"/>
    </xf>
    <xf numFmtId="0" fontId="133" fillId="0" borderId="0" xfId="0" applyFont="1" applyAlignment="1">
      <alignment horizontal="left" vertical="center"/>
    </xf>
    <xf numFmtId="0" fontId="139" fillId="43" borderId="10" xfId="133" applyFont="1" applyFill="1" applyBorder="1" applyAlignment="1">
      <alignment horizontal="left" vertical="center" wrapText="1"/>
    </xf>
    <xf numFmtId="186" fontId="130" fillId="0" borderId="10" xfId="88" applyNumberFormat="1" applyFont="1" applyFill="1" applyBorder="1" applyAlignment="1">
      <alignment horizontal="center" vertical="center"/>
    </xf>
    <xf numFmtId="0" fontId="129" fillId="0" borderId="13" xfId="87" applyFont="1" applyFill="1" applyBorder="1" applyAlignment="1">
      <alignment horizontal="center" vertical="center"/>
    </xf>
    <xf numFmtId="0" fontId="139" fillId="43" borderId="10" xfId="134" applyFont="1" applyFill="1" applyBorder="1" applyAlignment="1">
      <alignment horizontal="left" vertical="center" wrapText="1"/>
    </xf>
    <xf numFmtId="3" fontId="130" fillId="0" borderId="10" xfId="88" applyNumberFormat="1" applyFont="1" applyFill="1" applyBorder="1" applyAlignment="1">
      <alignment horizontal="center" vertical="center"/>
    </xf>
    <xf numFmtId="0" fontId="130" fillId="0" borderId="10" xfId="87" applyFont="1" applyFill="1" applyBorder="1" applyAlignment="1">
      <alignment horizontal="center" vertical="center"/>
    </xf>
    <xf numFmtId="0" fontId="133" fillId="0" borderId="0" xfId="0" applyFont="1" applyAlignment="1">
      <alignment horizontal="center" vertical="center"/>
    </xf>
    <xf numFmtId="14" fontId="142" fillId="0" borderId="10" xfId="127" applyNumberFormat="1" applyFont="1" applyFill="1" applyBorder="1" applyAlignment="1">
      <alignment horizontal="center" vertical="center"/>
    </xf>
    <xf numFmtId="197" fontId="131" fillId="44" borderId="10" xfId="0" applyNumberFormat="1" applyFont="1" applyFill="1" applyBorder="1" applyAlignment="1">
      <alignment horizontal="center" vertical="center"/>
    </xf>
    <xf numFmtId="195" fontId="30" fillId="0" borderId="99" xfId="83" applyNumberFormat="1" applyFont="1" applyFill="1" applyBorder="1" applyAlignment="1">
      <alignment horizontal="center" vertical="center"/>
    </xf>
    <xf numFmtId="195" fontId="30" fillId="0" borderId="100" xfId="83" applyNumberFormat="1" applyFont="1" applyFill="1" applyBorder="1" applyAlignment="1">
      <alignment horizontal="center" vertical="center"/>
    </xf>
    <xf numFmtId="195" fontId="30" fillId="0" borderId="62" xfId="83" applyNumberFormat="1" applyFont="1" applyFill="1" applyBorder="1" applyAlignment="1">
      <alignment horizontal="center" vertical="center"/>
    </xf>
    <xf numFmtId="0" fontId="62" fillId="0" borderId="154" xfId="83" applyFont="1" applyFill="1" applyBorder="1" applyAlignment="1">
      <alignment horizontal="right" vertical="center"/>
    </xf>
    <xf numFmtId="0" fontId="62" fillId="0" borderId="133" xfId="83" applyFont="1" applyFill="1" applyBorder="1" applyAlignment="1">
      <alignment horizontal="right" vertical="center"/>
    </xf>
    <xf numFmtId="195" fontId="89" fillId="0" borderId="107" xfId="83" applyNumberFormat="1" applyFont="1" applyFill="1" applyBorder="1" applyAlignment="1">
      <alignment horizontal="center"/>
    </xf>
    <xf numFmtId="195" fontId="89" fillId="0" borderId="65" xfId="83" applyNumberFormat="1" applyFont="1" applyFill="1" applyBorder="1" applyAlignment="1">
      <alignment horizontal="center"/>
    </xf>
    <xf numFmtId="195" fontId="89" fillId="0" borderId="45" xfId="83" applyNumberFormat="1" applyFont="1" applyFill="1" applyBorder="1" applyAlignment="1">
      <alignment horizontal="center"/>
    </xf>
    <xf numFmtId="0" fontId="62" fillId="0" borderId="149" xfId="83" applyFont="1" applyFill="1" applyBorder="1" applyAlignment="1">
      <alignment horizontal="right" vertical="center"/>
    </xf>
    <xf numFmtId="0" fontId="62" fillId="0" borderId="117" xfId="83" applyFont="1" applyFill="1" applyBorder="1" applyAlignment="1">
      <alignment horizontal="right" vertical="center"/>
    </xf>
    <xf numFmtId="0" fontId="90" fillId="0" borderId="37" xfId="72" applyFont="1" applyBorder="1" applyAlignment="1">
      <alignment horizontal="left" vertical="center"/>
    </xf>
    <xf numFmtId="0" fontId="90" fillId="0" borderId="9" xfId="72" applyFont="1" applyBorder="1" applyAlignment="1">
      <alignment horizontal="left" vertical="center"/>
    </xf>
    <xf numFmtId="0" fontId="90" fillId="0" borderId="64" xfId="72" applyFont="1" applyBorder="1" applyAlignment="1">
      <alignment horizontal="left" vertical="center"/>
    </xf>
    <xf numFmtId="0" fontId="62" fillId="0" borderId="155" xfId="83" applyFont="1" applyFill="1" applyBorder="1" applyAlignment="1">
      <alignment horizontal="right" vertical="center"/>
    </xf>
    <xf numFmtId="0" fontId="62" fillId="0" borderId="156" xfId="83" applyFont="1" applyFill="1" applyBorder="1" applyAlignment="1">
      <alignment horizontal="right" vertical="center"/>
    </xf>
    <xf numFmtId="1" fontId="19" fillId="0" borderId="40" xfId="70" applyNumberFormat="1" applyFont="1" applyFill="1" applyBorder="1" applyAlignment="1">
      <alignment horizontal="center" wrapText="1"/>
    </xf>
    <xf numFmtId="1" fontId="19" fillId="0" borderId="41" xfId="70" applyNumberFormat="1" applyFont="1" applyFill="1" applyBorder="1" applyAlignment="1">
      <alignment horizontal="center" wrapText="1"/>
    </xf>
    <xf numFmtId="1" fontId="19" fillId="0" borderId="46" xfId="70" applyNumberFormat="1" applyFont="1" applyFill="1" applyBorder="1" applyAlignment="1">
      <alignment horizontal="center" wrapText="1"/>
    </xf>
    <xf numFmtId="4" fontId="19" fillId="0" borderId="157" xfId="83" applyNumberFormat="1" applyFont="1" applyFill="1" applyBorder="1" applyAlignment="1">
      <alignment horizontal="center" wrapText="1"/>
    </xf>
    <xf numFmtId="4" fontId="19" fillId="0" borderId="41" xfId="83" applyNumberFormat="1" applyFont="1" applyFill="1" applyBorder="1" applyAlignment="1">
      <alignment horizontal="center" wrapText="1"/>
    </xf>
    <xf numFmtId="4" fontId="19" fillId="0" borderId="46" xfId="83" applyNumberFormat="1" applyFont="1" applyFill="1" applyBorder="1" applyAlignment="1">
      <alignment horizontal="center" wrapText="1"/>
    </xf>
    <xf numFmtId="0" fontId="19" fillId="0" borderId="157" xfId="70" applyFont="1" applyFill="1" applyBorder="1" applyAlignment="1">
      <alignment horizontal="center" wrapText="1"/>
    </xf>
    <xf numFmtId="0" fontId="19" fillId="0" borderId="41" xfId="70" applyFont="1" applyFill="1" applyBorder="1" applyAlignment="1">
      <alignment horizontal="center" wrapText="1"/>
    </xf>
    <xf numFmtId="0" fontId="19" fillId="0" borderId="47" xfId="70" applyFont="1" applyFill="1" applyBorder="1" applyAlignment="1">
      <alignment horizontal="center" wrapText="1"/>
    </xf>
    <xf numFmtId="0" fontId="91" fillId="0" borderId="71" xfId="83" applyFont="1" applyFill="1" applyBorder="1" applyAlignment="1">
      <alignment horizontal="left"/>
    </xf>
    <xf numFmtId="0" fontId="91" fillId="0" borderId="101" xfId="83" applyFont="1" applyFill="1" applyBorder="1" applyAlignment="1">
      <alignment horizontal="left"/>
    </xf>
    <xf numFmtId="195" fontId="91" fillId="0" borderId="105" xfId="83" applyNumberFormat="1" applyFont="1" applyFill="1" applyBorder="1" applyAlignment="1">
      <alignment horizontal="left"/>
    </xf>
    <xf numFmtId="195" fontId="91" fillId="0" borderId="101" xfId="83" applyNumberFormat="1" applyFont="1" applyFill="1" applyBorder="1" applyAlignment="1">
      <alignment horizontal="left"/>
    </xf>
    <xf numFmtId="195" fontId="91" fillId="0" borderId="66" xfId="83" applyNumberFormat="1" applyFont="1" applyFill="1" applyBorder="1" applyAlignment="1">
      <alignment horizontal="left"/>
    </xf>
    <xf numFmtId="195" fontId="91" fillId="0" borderId="71" xfId="83" applyNumberFormat="1" applyFont="1" applyFill="1" applyBorder="1" applyAlignment="1">
      <alignment horizontal="right" vertical="center"/>
    </xf>
    <xf numFmtId="195" fontId="91" fillId="0" borderId="101" xfId="83" applyNumberFormat="1" applyFont="1" applyFill="1" applyBorder="1" applyAlignment="1">
      <alignment horizontal="right" vertical="center"/>
    </xf>
    <xf numFmtId="195" fontId="91" fillId="0" borderId="66" xfId="83" applyNumberFormat="1" applyFont="1" applyFill="1" applyBorder="1" applyAlignment="1">
      <alignment horizontal="right" vertical="center"/>
    </xf>
    <xf numFmtId="195" fontId="91" fillId="0" borderId="107" xfId="83" applyNumberFormat="1" applyFont="1" applyFill="1" applyBorder="1" applyAlignment="1">
      <alignment horizontal="right" vertical="center"/>
    </xf>
    <xf numFmtId="195" fontId="91" fillId="0" borderId="65" xfId="83" applyNumberFormat="1" applyFont="1" applyFill="1" applyBorder="1" applyAlignment="1">
      <alignment horizontal="right" vertical="center"/>
    </xf>
    <xf numFmtId="195" fontId="91" fillId="0" borderId="45" xfId="83" applyNumberFormat="1" applyFont="1" applyFill="1" applyBorder="1" applyAlignment="1">
      <alignment horizontal="right" vertical="center"/>
    </xf>
    <xf numFmtId="4" fontId="7" fillId="0" borderId="37" xfId="83" applyNumberFormat="1" applyFont="1" applyFill="1" applyBorder="1" applyAlignment="1">
      <alignment horizontal="center" vertical="center"/>
    </xf>
    <xf numFmtId="4" fontId="7" fillId="0" borderId="9" xfId="83" applyNumberFormat="1" applyFont="1" applyFill="1" applyBorder="1" applyAlignment="1">
      <alignment horizontal="center" vertical="center"/>
    </xf>
    <xf numFmtId="4" fontId="7" fillId="0" borderId="64" xfId="83" applyNumberFormat="1" applyFont="1" applyFill="1" applyBorder="1" applyAlignment="1">
      <alignment horizontal="center" vertical="center"/>
    </xf>
    <xf numFmtId="195" fontId="7" fillId="0" borderId="69" xfId="83" applyNumberFormat="1" applyFont="1" applyFill="1" applyBorder="1" applyAlignment="1">
      <alignment horizontal="center" vertical="center"/>
    </xf>
    <xf numFmtId="195" fontId="7" fillId="0" borderId="9" xfId="83" applyNumberFormat="1" applyFont="1" applyFill="1" applyBorder="1" applyAlignment="1">
      <alignment horizontal="center" vertical="center"/>
    </xf>
    <xf numFmtId="195" fontId="7" fillId="0" borderId="64" xfId="83" applyNumberFormat="1" applyFont="1" applyFill="1" applyBorder="1" applyAlignment="1">
      <alignment horizontal="center" vertical="center"/>
    </xf>
    <xf numFmtId="4" fontId="7" fillId="0" borderId="69" xfId="83" applyNumberFormat="1" applyFont="1" applyFill="1" applyBorder="1" applyAlignment="1">
      <alignment horizontal="center" vertical="center"/>
    </xf>
    <xf numFmtId="4" fontId="7" fillId="0" borderId="70" xfId="83" applyNumberFormat="1" applyFont="1" applyFill="1" applyBorder="1" applyAlignment="1">
      <alignment horizontal="center" vertical="center"/>
    </xf>
    <xf numFmtId="0" fontId="88" fillId="0" borderId="107" xfId="83" applyFont="1" applyFill="1" applyBorder="1" applyAlignment="1">
      <alignment horizontal="left"/>
    </xf>
    <xf numFmtId="0" fontId="88" fillId="0" borderId="65" xfId="83" applyFont="1" applyFill="1" applyBorder="1" applyAlignment="1">
      <alignment horizontal="left"/>
    </xf>
    <xf numFmtId="195" fontId="88" fillId="0" borderId="98" xfId="83" applyNumberFormat="1" applyFont="1" applyFill="1" applyBorder="1" applyAlignment="1">
      <alignment horizontal="left"/>
    </xf>
    <xf numFmtId="195" fontId="88" fillId="0" borderId="65" xfId="83" applyNumberFormat="1" applyFont="1" applyFill="1" applyBorder="1" applyAlignment="1">
      <alignment horizontal="left"/>
    </xf>
    <xf numFmtId="195" fontId="88" fillId="0" borderId="45" xfId="83" applyNumberFormat="1" applyFont="1" applyFill="1" applyBorder="1" applyAlignment="1">
      <alignment horizontal="left"/>
    </xf>
    <xf numFmtId="0" fontId="7" fillId="0" borderId="71" xfId="83" applyFont="1" applyFill="1" applyBorder="1" applyAlignment="1">
      <alignment horizontal="center" vertical="center"/>
    </xf>
    <xf numFmtId="0" fontId="7" fillId="0" borderId="101" xfId="83" applyFont="1" applyFill="1" applyBorder="1" applyAlignment="1">
      <alignment horizontal="center" vertical="center"/>
    </xf>
    <xf numFmtId="0" fontId="7" fillId="0" borderId="66" xfId="83" applyFont="1" applyFill="1" applyBorder="1" applyAlignment="1">
      <alignment horizontal="center" vertical="center"/>
    </xf>
    <xf numFmtId="0" fontId="7" fillId="0" borderId="107" xfId="83" applyFont="1" applyFill="1" applyBorder="1" applyAlignment="1">
      <alignment horizontal="center" vertical="center"/>
    </xf>
    <xf numFmtId="0" fontId="7" fillId="0" borderId="65" xfId="83" applyFont="1" applyFill="1" applyBorder="1" applyAlignment="1">
      <alignment horizontal="center" vertical="center"/>
    </xf>
    <xf numFmtId="0" fontId="7" fillId="0" borderId="45" xfId="83" applyFont="1" applyFill="1" applyBorder="1" applyAlignment="1">
      <alignment horizontal="center" vertical="center"/>
    </xf>
    <xf numFmtId="0" fontId="7" fillId="0" borderId="69" xfId="96" applyFont="1" applyFill="1" applyBorder="1" applyAlignment="1">
      <alignment horizontal="center" vertical="center"/>
    </xf>
    <xf numFmtId="0" fontId="7" fillId="0" borderId="9" xfId="96" applyFont="1" applyFill="1" applyBorder="1" applyAlignment="1">
      <alignment horizontal="center" vertical="center"/>
    </xf>
    <xf numFmtId="0" fontId="7" fillId="0" borderId="64" xfId="96" applyFont="1" applyFill="1" applyBorder="1" applyAlignment="1">
      <alignment horizontal="center" vertical="center"/>
    </xf>
    <xf numFmtId="195" fontId="7" fillId="0" borderId="69" xfId="96" applyNumberFormat="1" applyFont="1" applyFill="1" applyBorder="1" applyAlignment="1">
      <alignment horizontal="center" vertical="center"/>
    </xf>
    <xf numFmtId="195" fontId="7" fillId="0" borderId="9" xfId="96" applyNumberFormat="1" applyFont="1" applyFill="1" applyBorder="1" applyAlignment="1">
      <alignment horizontal="center" vertical="center"/>
    </xf>
    <xf numFmtId="195" fontId="7" fillId="0" borderId="70" xfId="96" applyNumberFormat="1" applyFont="1" applyFill="1" applyBorder="1" applyAlignment="1">
      <alignment horizontal="center" vertical="center"/>
    </xf>
    <xf numFmtId="0" fontId="7" fillId="25" borderId="25" xfId="73" applyNumberFormat="1" applyFont="1" applyFill="1" applyBorder="1" applyAlignment="1" applyProtection="1">
      <alignment horizontal="center"/>
    </xf>
    <xf numFmtId="0" fontId="7" fillId="25" borderId="26" xfId="73" applyNumberFormat="1" applyFont="1" applyFill="1" applyBorder="1" applyAlignment="1" applyProtection="1">
      <alignment horizontal="center"/>
    </xf>
    <xf numFmtId="0" fontId="7" fillId="22" borderId="25" xfId="73" applyNumberFormat="1" applyFont="1" applyFill="1" applyBorder="1" applyAlignment="1" applyProtection="1">
      <alignment horizontal="center"/>
    </xf>
    <xf numFmtId="0" fontId="7" fillId="22" borderId="8" xfId="73" applyNumberFormat="1" applyFont="1" applyFill="1" applyBorder="1" applyAlignment="1" applyProtection="1">
      <alignment horizontal="center"/>
    </xf>
    <xf numFmtId="0" fontId="7" fillId="22" borderId="26" xfId="73" applyNumberFormat="1" applyFont="1" applyFill="1" applyBorder="1" applyAlignment="1" applyProtection="1">
      <alignment horizontal="center"/>
    </xf>
    <xf numFmtId="0" fontId="7" fillId="25" borderId="8" xfId="73" applyNumberFormat="1" applyFont="1" applyFill="1" applyBorder="1" applyAlignment="1" applyProtection="1">
      <alignment horizontal="center"/>
    </xf>
    <xf numFmtId="0" fontId="7" fillId="0" borderId="0" xfId="73" applyNumberFormat="1" applyFont="1" applyFill="1" applyBorder="1" applyAlignment="1" applyProtection="1">
      <alignment horizontal="center"/>
    </xf>
    <xf numFmtId="169" fontId="14" fillId="28" borderId="34" xfId="63" applyNumberFormat="1" applyFont="1" applyFill="1" applyBorder="1" applyAlignment="1">
      <alignment horizontal="center" vertical="center" textRotation="90"/>
    </xf>
    <xf numFmtId="169" fontId="14" fillId="28" borderId="36" xfId="63" applyNumberFormat="1" applyFont="1" applyFill="1" applyBorder="1" applyAlignment="1">
      <alignment horizontal="center" vertical="center" textRotation="90"/>
    </xf>
    <xf numFmtId="169" fontId="14" fillId="28" borderId="75" xfId="63" applyNumberFormat="1" applyFont="1" applyFill="1" applyBorder="1" applyAlignment="1">
      <alignment horizontal="center" vertical="center" textRotation="90"/>
    </xf>
    <xf numFmtId="169" fontId="7" fillId="0" borderId="25" xfId="63" applyNumberFormat="1" applyFont="1" applyBorder="1" applyAlignment="1">
      <alignment horizontal="center"/>
    </xf>
    <xf numFmtId="169" fontId="7" fillId="0" borderId="8" xfId="63" applyNumberFormat="1" applyFont="1" applyBorder="1" applyAlignment="1">
      <alignment horizontal="center"/>
    </xf>
    <xf numFmtId="169" fontId="7" fillId="0" borderId="26" xfId="63" applyNumberFormat="1" applyFont="1" applyBorder="1" applyAlignment="1">
      <alignment horizontal="center"/>
    </xf>
    <xf numFmtId="169" fontId="7" fillId="0" borderId="19" xfId="63" applyNumberFormat="1" applyFont="1" applyBorder="1" applyAlignment="1">
      <alignment horizontal="center"/>
    </xf>
    <xf numFmtId="169" fontId="7" fillId="0" borderId="28" xfId="63" applyNumberFormat="1" applyFont="1" applyBorder="1" applyAlignment="1">
      <alignment horizontal="center"/>
    </xf>
    <xf numFmtId="169" fontId="7" fillId="0" borderId="29" xfId="63" applyNumberFormat="1" applyFont="1" applyBorder="1" applyAlignment="1">
      <alignment horizontal="center"/>
    </xf>
    <xf numFmtId="169" fontId="7" fillId="0" borderId="99" xfId="63" applyNumberFormat="1" applyFont="1" applyBorder="1" applyAlignment="1">
      <alignment horizontal="center" vertical="center"/>
    </xf>
    <xf numFmtId="169" fontId="7" fillId="0" borderId="61" xfId="63" applyNumberFormat="1" applyFont="1" applyBorder="1" applyAlignment="1">
      <alignment horizontal="center" vertical="center"/>
    </xf>
    <xf numFmtId="169" fontId="7" fillId="0" borderId="30" xfId="63" applyNumberFormat="1" applyFont="1" applyBorder="1" applyAlignment="1">
      <alignment horizontal="center" vertical="center"/>
    </xf>
    <xf numFmtId="169" fontId="7" fillId="0" borderId="15" xfId="63" applyNumberFormat="1" applyFont="1" applyBorder="1" applyAlignment="1">
      <alignment horizontal="center" vertical="center"/>
    </xf>
    <xf numFmtId="169" fontId="7" fillId="0" borderId="35" xfId="63" applyNumberFormat="1" applyFont="1" applyBorder="1" applyAlignment="1">
      <alignment horizontal="center" vertical="center"/>
    </xf>
    <xf numFmtId="169" fontId="7" fillId="0" borderId="49" xfId="63" applyNumberFormat="1" applyFont="1" applyBorder="1" applyAlignment="1">
      <alignment horizontal="center" vertical="center"/>
    </xf>
    <xf numFmtId="169" fontId="7" fillId="0" borderId="40" xfId="63" applyNumberFormat="1" applyFont="1" applyBorder="1" applyAlignment="1">
      <alignment horizontal="center" vertical="center"/>
    </xf>
    <xf numFmtId="169" fontId="14" fillId="28" borderId="34" xfId="63" applyNumberFormat="1" applyFont="1" applyFill="1" applyBorder="1" applyAlignment="1">
      <alignment horizontal="center" vertical="center" textRotation="90" wrapText="1"/>
    </xf>
    <xf numFmtId="169" fontId="14" fillId="28" borderId="36" xfId="63" applyNumberFormat="1" applyFont="1" applyFill="1" applyBorder="1" applyAlignment="1">
      <alignment horizontal="center" vertical="center" textRotation="90" wrapText="1"/>
    </xf>
    <xf numFmtId="169" fontId="14" fillId="28" borderId="75" xfId="63" applyNumberFormat="1" applyFont="1" applyFill="1" applyBorder="1" applyAlignment="1">
      <alignment horizontal="center" vertical="center" textRotation="90" wrapText="1"/>
    </xf>
    <xf numFmtId="169" fontId="7" fillId="0" borderId="99" xfId="63" applyNumberFormat="1" applyFont="1" applyBorder="1" applyAlignment="1">
      <alignment horizontal="center"/>
    </xf>
    <xf numFmtId="169" fontId="7" fillId="0" borderId="100" xfId="63" applyNumberFormat="1" applyFont="1" applyBorder="1" applyAlignment="1">
      <alignment horizontal="center"/>
    </xf>
    <xf numFmtId="169" fontId="7" fillId="0" borderId="74" xfId="63" applyNumberFormat="1" applyFont="1" applyBorder="1" applyAlignment="1">
      <alignment horizontal="center"/>
    </xf>
    <xf numFmtId="169" fontId="5" fillId="37" borderId="25" xfId="81" applyNumberFormat="1" applyFont="1" applyFill="1" applyBorder="1" applyAlignment="1">
      <alignment horizontal="center"/>
    </xf>
    <xf numFmtId="169" fontId="5" fillId="37" borderId="8" xfId="81" applyNumberFormat="1" applyFont="1" applyFill="1" applyBorder="1" applyAlignment="1">
      <alignment horizontal="center"/>
    </xf>
    <xf numFmtId="169" fontId="5" fillId="37" borderId="26" xfId="81" applyNumberFormat="1" applyFont="1" applyFill="1" applyBorder="1" applyAlignment="1">
      <alignment horizontal="center"/>
    </xf>
    <xf numFmtId="0" fontId="99" fillId="0" borderId="74" xfId="91" applyFont="1" applyFill="1" applyBorder="1" applyAlignment="1">
      <alignment horizontal="center" vertical="center" wrapText="1"/>
    </xf>
    <xf numFmtId="0" fontId="99" fillId="0" borderId="47" xfId="91" applyFont="1" applyFill="1" applyBorder="1" applyAlignment="1">
      <alignment horizontal="center" vertical="center" wrapText="1"/>
    </xf>
    <xf numFmtId="195" fontId="66" fillId="0" borderId="25" xfId="91" applyNumberFormat="1" applyFont="1" applyFill="1" applyBorder="1" applyAlignment="1">
      <alignment horizontal="center" vertical="center"/>
    </xf>
    <xf numFmtId="0" fontId="102" fillId="0" borderId="8" xfId="77" applyBorder="1"/>
    <xf numFmtId="0" fontId="102" fillId="0" borderId="26" xfId="77" applyBorder="1"/>
    <xf numFmtId="0" fontId="110" fillId="0" borderId="25" xfId="91" applyFont="1" applyFill="1" applyBorder="1" applyAlignment="1">
      <alignment horizontal="center" vertical="center"/>
    </xf>
    <xf numFmtId="0" fontId="110" fillId="0" borderId="8" xfId="91" applyFont="1" applyFill="1" applyBorder="1" applyAlignment="1">
      <alignment horizontal="center" vertical="center"/>
    </xf>
    <xf numFmtId="0" fontId="110" fillId="0" borderId="26" xfId="91" applyFont="1" applyFill="1" applyBorder="1" applyAlignment="1">
      <alignment horizontal="center" vertical="center"/>
    </xf>
    <xf numFmtId="0" fontId="109" fillId="0" borderId="8" xfId="91" applyFont="1" applyFill="1" applyBorder="1" applyAlignment="1">
      <alignment horizontal="center" vertical="center"/>
    </xf>
    <xf numFmtId="0" fontId="109" fillId="0" borderId="26" xfId="91" applyFont="1" applyFill="1" applyBorder="1" applyAlignment="1">
      <alignment horizontal="center" vertical="center"/>
    </xf>
    <xf numFmtId="0" fontId="101" fillId="0" borderId="34" xfId="91" applyFont="1" applyFill="1" applyBorder="1" applyAlignment="1">
      <alignment horizontal="center" vertical="center"/>
    </xf>
    <xf numFmtId="0" fontId="101" fillId="0" borderId="75" xfId="91" applyFont="1" applyFill="1" applyBorder="1" applyAlignment="1">
      <alignment horizontal="center" vertical="center"/>
    </xf>
    <xf numFmtId="0" fontId="99" fillId="0" borderId="34" xfId="91" applyFont="1" applyFill="1" applyBorder="1" applyAlignment="1">
      <alignment horizontal="center" vertical="center"/>
    </xf>
    <xf numFmtId="0" fontId="99" fillId="0" borderId="75" xfId="91" applyFont="1" applyFill="1" applyBorder="1" applyAlignment="1">
      <alignment horizontal="center" vertical="center"/>
    </xf>
    <xf numFmtId="0" fontId="48" fillId="0" borderId="30" xfId="91" applyFont="1" applyFill="1" applyBorder="1" applyAlignment="1">
      <alignment horizontal="center" vertical="center"/>
    </xf>
    <xf numFmtId="0" fontId="8" fillId="0" borderId="56" xfId="91" applyFill="1" applyBorder="1" applyAlignment="1">
      <alignment horizontal="center" vertical="center"/>
    </xf>
    <xf numFmtId="0" fontId="8" fillId="0" borderId="104" xfId="91" applyFill="1" applyBorder="1" applyAlignment="1">
      <alignment horizontal="center" vertical="center"/>
    </xf>
    <xf numFmtId="1" fontId="19" fillId="0" borderId="43" xfId="69" applyNumberFormat="1" applyFont="1" applyFill="1" applyBorder="1" applyAlignment="1">
      <alignment horizontal="center" wrapText="1"/>
    </xf>
    <xf numFmtId="1" fontId="19" fillId="0" borderId="102" xfId="69" applyNumberFormat="1" applyFont="1" applyFill="1" applyBorder="1" applyAlignment="1">
      <alignment horizontal="center" wrapText="1"/>
    </xf>
    <xf numFmtId="1" fontId="19" fillId="0" borderId="60" xfId="69" applyNumberFormat="1" applyFont="1" applyFill="1" applyBorder="1" applyAlignment="1">
      <alignment horizontal="center" wrapText="1"/>
    </xf>
    <xf numFmtId="4" fontId="19" fillId="0" borderId="97" xfId="83" applyNumberFormat="1" applyFont="1" applyFill="1" applyBorder="1" applyAlignment="1">
      <alignment horizontal="center" wrapText="1"/>
    </xf>
    <xf numFmtId="4" fontId="19" fillId="0" borderId="102" xfId="83" applyNumberFormat="1" applyFont="1" applyFill="1" applyBorder="1" applyAlignment="1">
      <alignment horizontal="center" wrapText="1"/>
    </xf>
    <xf numFmtId="4" fontId="19" fillId="0" borderId="60" xfId="83" applyNumberFormat="1" applyFont="1" applyFill="1" applyBorder="1" applyAlignment="1">
      <alignment horizontal="center" wrapText="1"/>
    </xf>
    <xf numFmtId="0" fontId="19" fillId="0" borderId="97" xfId="69" applyFont="1" applyFill="1" applyBorder="1" applyAlignment="1">
      <alignment horizontal="center" wrapText="1"/>
    </xf>
    <xf numFmtId="0" fontId="19" fillId="0" borderId="102" xfId="69" applyFont="1" applyFill="1" applyBorder="1" applyAlignment="1">
      <alignment horizontal="center" wrapText="1"/>
    </xf>
    <xf numFmtId="0" fontId="19" fillId="0" borderId="67" xfId="69" applyFont="1" applyFill="1" applyBorder="1" applyAlignment="1">
      <alignment horizontal="center" wrapText="1"/>
    </xf>
    <xf numFmtId="0" fontId="91" fillId="0" borderId="71" xfId="83" applyFont="1" applyFill="1" applyBorder="1" applyAlignment="1">
      <alignment horizontal="center" vertical="center"/>
    </xf>
    <xf numFmtId="0" fontId="91" fillId="0" borderId="66" xfId="83" applyFont="1" applyFill="1" applyBorder="1" applyAlignment="1">
      <alignment horizontal="center" vertical="center"/>
    </xf>
    <xf numFmtId="195" fontId="126" fillId="0" borderId="98" xfId="83" applyNumberFormat="1" applyFont="1" applyFill="1" applyBorder="1" applyAlignment="1">
      <alignment horizontal="left"/>
    </xf>
    <xf numFmtId="195" fontId="126" fillId="0" borderId="65" xfId="83" applyNumberFormat="1" applyFont="1" applyFill="1" applyBorder="1" applyAlignment="1">
      <alignment horizontal="left"/>
    </xf>
    <xf numFmtId="195" fontId="126" fillId="0" borderId="45" xfId="83" applyNumberFormat="1" applyFont="1" applyFill="1" applyBorder="1" applyAlignment="1">
      <alignment horizontal="left"/>
    </xf>
    <xf numFmtId="195" fontId="5" fillId="0" borderId="107" xfId="83" applyNumberFormat="1" applyFont="1" applyFill="1" applyBorder="1" applyAlignment="1">
      <alignment horizontal="center"/>
    </xf>
    <xf numFmtId="195" fontId="5" fillId="0" borderId="65" xfId="83" applyNumberFormat="1" applyFont="1" applyFill="1" applyBorder="1" applyAlignment="1">
      <alignment horizontal="center"/>
    </xf>
    <xf numFmtId="195" fontId="5" fillId="0" borderId="45" xfId="83" applyNumberFormat="1" applyFont="1" applyFill="1" applyBorder="1" applyAlignment="1">
      <alignment horizontal="center"/>
    </xf>
    <xf numFmtId="0" fontId="124" fillId="0" borderId="37" xfId="72" applyFont="1" applyBorder="1" applyAlignment="1">
      <alignment horizontal="center" vertical="center"/>
    </xf>
    <xf numFmtId="0" fontId="124" fillId="0" borderId="9" xfId="72" applyFont="1" applyBorder="1" applyAlignment="1">
      <alignment horizontal="center" vertical="center"/>
    </xf>
    <xf numFmtId="0" fontId="124" fillId="0" borderId="64" xfId="72" applyFont="1" applyBorder="1" applyAlignment="1">
      <alignment horizontal="center" vertical="center"/>
    </xf>
    <xf numFmtId="0" fontId="35" fillId="16" borderId="158" xfId="92" applyFont="1" applyFill="1" applyBorder="1" applyAlignment="1">
      <alignment horizontal="center"/>
    </xf>
    <xf numFmtId="0" fontId="35" fillId="16" borderId="68" xfId="92" applyFont="1" applyFill="1" applyBorder="1" applyAlignment="1">
      <alignment horizontal="center"/>
    </xf>
    <xf numFmtId="0" fontId="35" fillId="16" borderId="81" xfId="92" applyFont="1" applyFill="1" applyBorder="1" applyAlignment="1">
      <alignment horizontal="center"/>
    </xf>
    <xf numFmtId="0" fontId="37" fillId="0" borderId="158" xfId="92" applyFont="1" applyBorder="1" applyAlignment="1">
      <alignment horizontal="center"/>
    </xf>
    <xf numFmtId="0" fontId="37" fillId="0" borderId="68" xfId="92" applyFont="1" applyBorder="1" applyAlignment="1">
      <alignment horizontal="center"/>
    </xf>
    <xf numFmtId="0" fontId="37" fillId="0" borderId="81" xfId="92" applyFont="1" applyBorder="1" applyAlignment="1">
      <alignment horizontal="center"/>
    </xf>
    <xf numFmtId="49" fontId="37" fillId="16" borderId="82" xfId="92" applyNumberFormat="1" applyFont="1" applyFill="1" applyBorder="1" applyAlignment="1">
      <alignment horizontal="center" vertical="center"/>
    </xf>
    <xf numFmtId="49" fontId="37" fillId="16" borderId="83" xfId="92" applyNumberFormat="1" applyFont="1" applyFill="1" applyBorder="1" applyAlignment="1">
      <alignment horizontal="center" vertical="center"/>
    </xf>
    <xf numFmtId="49" fontId="37" fillId="16" borderId="89" xfId="92" applyNumberFormat="1" applyFont="1" applyFill="1" applyBorder="1" applyAlignment="1">
      <alignment horizontal="center" vertical="center"/>
    </xf>
    <xf numFmtId="49" fontId="37" fillId="16" borderId="159" xfId="92" applyNumberFormat="1" applyFont="1" applyFill="1" applyBorder="1" applyAlignment="1">
      <alignment horizontal="center" vertical="center"/>
    </xf>
    <xf numFmtId="175" fontId="37" fillId="16" borderId="160" xfId="92" applyNumberFormat="1" applyFont="1" applyFill="1" applyBorder="1" applyAlignment="1">
      <alignment horizontal="center" vertical="center"/>
    </xf>
    <xf numFmtId="175" fontId="37" fillId="16" borderId="161" xfId="92" applyNumberFormat="1" applyFont="1" applyFill="1" applyBorder="1" applyAlignment="1">
      <alignment horizontal="center" vertical="center"/>
    </xf>
    <xf numFmtId="49" fontId="37" fillId="16" borderId="86" xfId="92" applyNumberFormat="1" applyFont="1" applyFill="1" applyBorder="1" applyAlignment="1">
      <alignment horizontal="center" vertical="center"/>
    </xf>
    <xf numFmtId="49" fontId="37" fillId="16" borderId="162" xfId="92" applyNumberFormat="1" applyFont="1" applyFill="1" applyBorder="1" applyAlignment="1">
      <alignment horizontal="center" vertical="center"/>
    </xf>
    <xf numFmtId="49" fontId="37" fillId="16" borderId="87" xfId="92" applyNumberFormat="1" applyFont="1" applyFill="1" applyBorder="1" applyAlignment="1">
      <alignment horizontal="center" vertical="center"/>
    </xf>
    <xf numFmtId="49" fontId="37" fillId="16" borderId="163" xfId="92" applyNumberFormat="1" applyFont="1" applyFill="1" applyBorder="1" applyAlignment="1">
      <alignment horizontal="center" vertical="center"/>
    </xf>
    <xf numFmtId="0" fontId="37" fillId="0" borderId="164" xfId="92" applyFont="1" applyFill="1" applyBorder="1" applyAlignment="1">
      <alignment horizontal="center" vertical="center"/>
    </xf>
    <xf numFmtId="0" fontId="37" fillId="0" borderId="165" xfId="92" applyFont="1" applyFill="1" applyBorder="1" applyAlignment="1">
      <alignment horizontal="center" vertical="center"/>
    </xf>
    <xf numFmtId="0" fontId="37" fillId="0" borderId="166" xfId="92" applyFont="1" applyFill="1" applyBorder="1" applyAlignment="1">
      <alignment horizontal="center" vertical="center"/>
    </xf>
    <xf numFmtId="0" fontId="117" fillId="0" borderId="13" xfId="75" applyFont="1" applyBorder="1" applyAlignment="1">
      <alignment horizontal="left"/>
    </xf>
    <xf numFmtId="0" fontId="117" fillId="0" borderId="10" xfId="75" applyFont="1" applyBorder="1" applyAlignment="1">
      <alignment horizontal="left"/>
    </xf>
    <xf numFmtId="0" fontId="117" fillId="40" borderId="15" xfId="75" applyFont="1" applyFill="1" applyBorder="1" applyAlignment="1">
      <alignment horizontal="left"/>
    </xf>
    <xf numFmtId="0" fontId="117" fillId="40" borderId="16" xfId="75" applyFont="1" applyFill="1" applyBorder="1" applyAlignment="1">
      <alignment horizontal="left"/>
    </xf>
    <xf numFmtId="0" fontId="117" fillId="39" borderId="56" xfId="75" applyFont="1" applyFill="1" applyBorder="1" applyAlignment="1">
      <alignment horizontal="center" vertical="center"/>
    </xf>
    <xf numFmtId="0" fontId="117" fillId="39" borderId="10" xfId="75" applyFont="1" applyFill="1" applyBorder="1" applyAlignment="1">
      <alignment horizontal="center" vertical="center"/>
    </xf>
    <xf numFmtId="0" fontId="116" fillId="39" borderId="56" xfId="75" applyFill="1" applyBorder="1" applyAlignment="1">
      <alignment horizontal="center" vertical="center"/>
    </xf>
    <xf numFmtId="0" fontId="116" fillId="39" borderId="10" xfId="75" applyFill="1" applyBorder="1" applyAlignment="1">
      <alignment horizontal="center" vertical="center"/>
    </xf>
    <xf numFmtId="0" fontId="116" fillId="39" borderId="35" xfId="75" applyFill="1" applyBorder="1" applyAlignment="1">
      <alignment horizontal="center" vertical="center"/>
    </xf>
    <xf numFmtId="0" fontId="116" fillId="39" borderId="31" xfId="75" applyFill="1" applyBorder="1" applyAlignment="1">
      <alignment horizontal="center" vertical="center"/>
    </xf>
    <xf numFmtId="0" fontId="116" fillId="39" borderId="32" xfId="75" applyFill="1" applyBorder="1" applyAlignment="1">
      <alignment horizontal="center" vertical="center" wrapText="1"/>
    </xf>
    <xf numFmtId="0" fontId="116" fillId="39" borderId="23" xfId="75" applyFill="1" applyBorder="1" applyAlignment="1">
      <alignment horizontal="center" vertical="center" wrapText="1"/>
    </xf>
    <xf numFmtId="0" fontId="116" fillId="39" borderId="32" xfId="75" applyFill="1" applyBorder="1" applyAlignment="1">
      <alignment horizontal="center" vertical="center"/>
    </xf>
    <xf numFmtId="0" fontId="116" fillId="39" borderId="23" xfId="75" applyFill="1" applyBorder="1" applyAlignment="1">
      <alignment horizontal="center" vertical="center"/>
    </xf>
    <xf numFmtId="0" fontId="117" fillId="0" borderId="37" xfId="75" applyFont="1" applyBorder="1" applyAlignment="1">
      <alignment horizontal="left"/>
    </xf>
    <xf numFmtId="0" fontId="117" fillId="0" borderId="9" xfId="75" applyFont="1" applyBorder="1" applyAlignment="1">
      <alignment horizontal="left"/>
    </xf>
    <xf numFmtId="0" fontId="117" fillId="0" borderId="64" xfId="75" applyFont="1" applyBorder="1" applyAlignment="1">
      <alignment horizontal="left"/>
    </xf>
    <xf numFmtId="0" fontId="116" fillId="39" borderId="69" xfId="75" applyFill="1" applyBorder="1" applyAlignment="1">
      <alignment horizontal="center"/>
    </xf>
    <xf numFmtId="0" fontId="116" fillId="39" borderId="64" xfId="75" applyFill="1" applyBorder="1" applyAlignment="1">
      <alignment horizontal="center"/>
    </xf>
    <xf numFmtId="0" fontId="118" fillId="0" borderId="0" xfId="75" applyFont="1" applyAlignment="1">
      <alignment horizontal="left" vertical="center"/>
    </xf>
    <xf numFmtId="0" fontId="121" fillId="0" borderId="0" xfId="75" applyFont="1" applyAlignment="1">
      <alignment horizontal="left" vertical="center"/>
    </xf>
    <xf numFmtId="0" fontId="116" fillId="39" borderId="30" xfId="75" applyFill="1" applyBorder="1" applyAlignment="1">
      <alignment horizontal="center" vertical="center"/>
    </xf>
    <xf numFmtId="0" fontId="116" fillId="39" borderId="13" xfId="75" applyFill="1" applyBorder="1" applyAlignment="1">
      <alignment horizontal="center" vertical="center"/>
    </xf>
    <xf numFmtId="0" fontId="116" fillId="39" borderId="56" xfId="75" applyFill="1" applyBorder="1" applyAlignment="1">
      <alignment horizontal="center" vertical="center" wrapText="1"/>
    </xf>
    <xf numFmtId="0" fontId="116" fillId="39" borderId="10" xfId="75" applyFill="1" applyBorder="1" applyAlignment="1">
      <alignment horizontal="center" vertical="center" wrapText="1"/>
    </xf>
    <xf numFmtId="0" fontId="117" fillId="39" borderId="108" xfId="75" applyFont="1" applyFill="1" applyBorder="1" applyAlignment="1">
      <alignment horizontal="center" vertical="center"/>
    </xf>
    <xf numFmtId="0" fontId="116" fillId="0" borderId="100" xfId="75" applyBorder="1" applyAlignment="1">
      <alignment horizontal="center" vertical="center"/>
    </xf>
    <xf numFmtId="0" fontId="116" fillId="0" borderId="62" xfId="75" applyBorder="1" applyAlignment="1">
      <alignment horizontal="center" vertical="center"/>
    </xf>
    <xf numFmtId="0" fontId="117" fillId="39" borderId="98" xfId="75" applyFont="1" applyFill="1" applyBorder="1" applyAlignment="1">
      <alignment horizontal="center" vertical="center"/>
    </xf>
    <xf numFmtId="0" fontId="116" fillId="0" borderId="65" xfId="75" applyBorder="1" applyAlignment="1">
      <alignment horizontal="center" vertical="center"/>
    </xf>
    <xf numFmtId="0" fontId="116" fillId="0" borderId="45" xfId="75" applyBorder="1" applyAlignment="1">
      <alignment horizontal="center" vertical="center"/>
    </xf>
    <xf numFmtId="0" fontId="117" fillId="0" borderId="0" xfId="75" applyFont="1" applyAlignment="1">
      <alignment horizontal="center" vertical="center"/>
    </xf>
    <xf numFmtId="0" fontId="116" fillId="0" borderId="0" xfId="75" applyAlignment="1">
      <alignment horizontal="center" vertical="center"/>
    </xf>
    <xf numFmtId="0" fontId="117" fillId="39" borderId="18" xfId="75" applyFont="1" applyFill="1" applyBorder="1" applyAlignment="1">
      <alignment horizontal="center" vertical="center"/>
    </xf>
    <xf numFmtId="0" fontId="117" fillId="39" borderId="14" xfId="75" applyFont="1" applyFill="1" applyBorder="1" applyAlignment="1">
      <alignment horizontal="center" vertical="center"/>
    </xf>
    <xf numFmtId="0" fontId="117" fillId="40" borderId="43" xfId="75" applyFont="1" applyFill="1" applyBorder="1" applyAlignment="1">
      <alignment horizontal="left"/>
    </xf>
    <xf numFmtId="0" fontId="117" fillId="40" borderId="102" xfId="75" applyFont="1" applyFill="1" applyBorder="1" applyAlignment="1">
      <alignment horizontal="left"/>
    </xf>
    <xf numFmtId="0" fontId="117" fillId="40" borderId="60" xfId="75" applyFont="1" applyFill="1" applyBorder="1" applyAlignment="1">
      <alignment horizontal="left"/>
    </xf>
    <xf numFmtId="0" fontId="118" fillId="0" borderId="0" xfId="75" applyFont="1" applyAlignment="1"/>
    <xf numFmtId="0" fontId="117" fillId="0" borderId="0" xfId="75" applyFont="1" applyFill="1" applyBorder="1" applyAlignment="1">
      <alignment horizontal="center" vertical="center"/>
    </xf>
    <xf numFmtId="0" fontId="117" fillId="0" borderId="0" xfId="75" applyFont="1" applyFill="1" applyBorder="1" applyAlignment="1">
      <alignment horizontal="left"/>
    </xf>
    <xf numFmtId="0" fontId="117" fillId="39" borderId="104" xfId="75" applyFont="1" applyFill="1" applyBorder="1" applyAlignment="1">
      <alignment horizontal="center" vertical="center"/>
    </xf>
    <xf numFmtId="0" fontId="117" fillId="39" borderId="52" xfId="75" applyFont="1" applyFill="1" applyBorder="1" applyAlignment="1">
      <alignment horizontal="center" vertical="center"/>
    </xf>
    <xf numFmtId="0" fontId="116" fillId="0" borderId="0" xfId="75" applyFill="1" applyBorder="1" applyAlignment="1">
      <alignment horizontal="center" vertical="center"/>
    </xf>
    <xf numFmtId="0" fontId="116" fillId="0" borderId="0" xfId="75" applyFill="1" applyBorder="1" applyAlignment="1">
      <alignment horizontal="center" vertical="center" wrapText="1"/>
    </xf>
    <xf numFmtId="0" fontId="118" fillId="0" borderId="0" xfId="75" applyFont="1" applyFill="1" applyBorder="1" applyAlignment="1"/>
    <xf numFmtId="0" fontId="117" fillId="39" borderId="32" xfId="75" applyFont="1" applyFill="1" applyBorder="1" applyAlignment="1">
      <alignment horizontal="center" vertical="center"/>
    </xf>
    <xf numFmtId="0" fontId="117" fillId="39" borderId="23" xfId="75" applyFont="1" applyFill="1" applyBorder="1" applyAlignment="1">
      <alignment horizontal="center" vertical="center"/>
    </xf>
    <xf numFmtId="0" fontId="117" fillId="39" borderId="33" xfId="75" applyFont="1" applyFill="1" applyBorder="1" applyAlignment="1">
      <alignment horizontal="center" vertical="center"/>
    </xf>
    <xf numFmtId="0" fontId="117" fillId="39" borderId="24" xfId="75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17" fillId="39" borderId="73" xfId="75" applyFont="1" applyFill="1" applyBorder="1" applyAlignment="1">
      <alignment horizontal="center" vertical="center"/>
    </xf>
    <xf numFmtId="0" fontId="117" fillId="39" borderId="38" xfId="75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6" fillId="39" borderId="20" xfId="75" applyFill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116" fillId="39" borderId="104" xfId="75" applyFill="1" applyBorder="1" applyAlignment="1">
      <alignment horizontal="center"/>
    </xf>
    <xf numFmtId="0" fontId="116" fillId="39" borderId="51" xfId="75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17" fillId="39" borderId="51" xfId="75" applyFont="1" applyFill="1" applyBorder="1" applyAlignment="1">
      <alignment horizontal="center" vertical="center"/>
    </xf>
    <xf numFmtId="169" fontId="7" fillId="0" borderId="0" xfId="65" applyNumberFormat="1" applyFont="1" applyFill="1" applyBorder="1" applyAlignment="1">
      <alignment horizontal="center"/>
    </xf>
    <xf numFmtId="3" fontId="7" fillId="22" borderId="34" xfId="65" applyNumberFormat="1" applyFont="1" applyFill="1" applyBorder="1" applyAlignment="1">
      <alignment horizontal="center" vertical="center" textRotation="90"/>
    </xf>
    <xf numFmtId="3" fontId="7" fillId="22" borderId="36" xfId="65" applyNumberFormat="1" applyFont="1" applyFill="1" applyBorder="1" applyAlignment="1">
      <alignment horizontal="center" vertical="center" textRotation="90"/>
    </xf>
    <xf numFmtId="3" fontId="7" fillId="22" borderId="75" xfId="65" applyNumberFormat="1" applyFont="1" applyFill="1" applyBorder="1" applyAlignment="1">
      <alignment horizontal="center" vertical="center" textRotation="90"/>
    </xf>
    <xf numFmtId="169" fontId="14" fillId="28" borderId="34" xfId="65" applyNumberFormat="1" applyFont="1" applyFill="1" applyBorder="1" applyAlignment="1">
      <alignment horizontal="center" vertical="center" textRotation="90"/>
    </xf>
    <xf numFmtId="169" fontId="14" fillId="28" borderId="36" xfId="65" applyNumberFormat="1" applyFont="1" applyFill="1" applyBorder="1" applyAlignment="1">
      <alignment horizontal="center" vertical="center" textRotation="90"/>
    </xf>
    <xf numFmtId="169" fontId="14" fillId="28" borderId="75" xfId="65" applyNumberFormat="1" applyFont="1" applyFill="1" applyBorder="1" applyAlignment="1">
      <alignment horizontal="center" vertical="center" textRotation="90"/>
    </xf>
    <xf numFmtId="3" fontId="7" fillId="26" borderId="25" xfId="65" applyNumberFormat="1" applyFont="1" applyFill="1" applyBorder="1" applyAlignment="1">
      <alignment horizontal="center"/>
    </xf>
    <xf numFmtId="3" fontId="7" fillId="26" borderId="8" xfId="65" applyNumberFormat="1" applyFont="1" applyFill="1" applyBorder="1" applyAlignment="1">
      <alignment horizontal="center"/>
    </xf>
    <xf numFmtId="3" fontId="7" fillId="26" borderId="26" xfId="65" applyNumberFormat="1" applyFont="1" applyFill="1" applyBorder="1" applyAlignment="1">
      <alignment horizontal="center"/>
    </xf>
    <xf numFmtId="3" fontId="7" fillId="38" borderId="8" xfId="65" applyNumberFormat="1" applyFont="1" applyFill="1" applyBorder="1" applyAlignment="1">
      <alignment horizontal="center"/>
    </xf>
    <xf numFmtId="3" fontId="7" fillId="38" borderId="26" xfId="65" applyNumberFormat="1" applyFont="1" applyFill="1" applyBorder="1" applyAlignment="1">
      <alignment horizontal="center"/>
    </xf>
    <xf numFmtId="169" fontId="7" fillId="25" borderId="25" xfId="65" applyNumberFormat="1" applyFont="1" applyFill="1" applyBorder="1" applyAlignment="1">
      <alignment horizontal="center"/>
    </xf>
    <xf numFmtId="169" fontId="7" fillId="25" borderId="26" xfId="65" applyNumberFormat="1" applyFont="1" applyFill="1" applyBorder="1" applyAlignment="1">
      <alignment horizontal="center"/>
    </xf>
    <xf numFmtId="169" fontId="14" fillId="28" borderId="34" xfId="65" applyNumberFormat="1" applyFont="1" applyFill="1" applyBorder="1" applyAlignment="1">
      <alignment horizontal="center" vertical="center" textRotation="90" wrapText="1"/>
    </xf>
    <xf numFmtId="169" fontId="14" fillId="28" borderId="36" xfId="65" applyNumberFormat="1" applyFont="1" applyFill="1" applyBorder="1" applyAlignment="1">
      <alignment horizontal="center" vertical="center" textRotation="90" wrapText="1"/>
    </xf>
    <xf numFmtId="169" fontId="14" fillId="28" borderId="75" xfId="65" applyNumberFormat="1" applyFont="1" applyFill="1" applyBorder="1" applyAlignment="1">
      <alignment horizontal="center" vertical="center" textRotation="90" wrapText="1"/>
    </xf>
    <xf numFmtId="169" fontId="14" fillId="28" borderId="100" xfId="65" applyNumberFormat="1" applyFont="1" applyFill="1" applyBorder="1" applyAlignment="1">
      <alignment horizontal="center" vertical="center" textRotation="90"/>
    </xf>
    <xf numFmtId="169" fontId="14" fillId="28" borderId="0" xfId="65" applyNumberFormat="1" applyFont="1" applyFill="1" applyBorder="1" applyAlignment="1">
      <alignment horizontal="center" vertical="center" textRotation="90"/>
    </xf>
    <xf numFmtId="169" fontId="14" fillId="28" borderId="41" xfId="65" applyNumberFormat="1" applyFont="1" applyFill="1" applyBorder="1" applyAlignment="1">
      <alignment horizontal="center" vertical="center" textRotation="90"/>
    </xf>
    <xf numFmtId="3" fontId="7" fillId="38" borderId="25" xfId="65" applyNumberFormat="1" applyFont="1" applyFill="1" applyBorder="1" applyAlignment="1">
      <alignment horizontal="center"/>
    </xf>
    <xf numFmtId="169" fontId="14" fillId="28" borderId="99" xfId="65" applyNumberFormat="1" applyFont="1" applyFill="1" applyBorder="1" applyAlignment="1">
      <alignment horizontal="center" vertical="center" textRotation="90" wrapText="1"/>
    </xf>
    <xf numFmtId="169" fontId="14" fillId="28" borderId="61" xfId="65" applyNumberFormat="1" applyFont="1" applyFill="1" applyBorder="1" applyAlignment="1">
      <alignment horizontal="center" vertical="center" textRotation="90" wrapText="1"/>
    </xf>
    <xf numFmtId="169" fontId="14" fillId="28" borderId="40" xfId="65" applyNumberFormat="1" applyFont="1" applyFill="1" applyBorder="1" applyAlignment="1">
      <alignment horizontal="center" vertical="center" textRotation="90" wrapText="1"/>
    </xf>
    <xf numFmtId="169" fontId="7" fillId="25" borderId="8" xfId="65" applyNumberFormat="1" applyFont="1" applyFill="1" applyBorder="1" applyAlignment="1">
      <alignment horizontal="center"/>
    </xf>
    <xf numFmtId="169" fontId="7" fillId="38" borderId="8" xfId="65" applyNumberFormat="1" applyFont="1" applyFill="1" applyBorder="1" applyAlignment="1">
      <alignment horizontal="center"/>
    </xf>
    <xf numFmtId="169" fontId="7" fillId="38" borderId="26" xfId="65" applyNumberFormat="1" applyFont="1" applyFill="1" applyBorder="1" applyAlignment="1">
      <alignment horizontal="center"/>
    </xf>
    <xf numFmtId="169" fontId="14" fillId="28" borderId="99" xfId="65" applyNumberFormat="1" applyFont="1" applyFill="1" applyBorder="1" applyAlignment="1">
      <alignment horizontal="center" vertical="center" textRotation="90"/>
    </xf>
    <xf numFmtId="169" fontId="14" fillId="28" borderId="61" xfId="65" applyNumberFormat="1" applyFont="1" applyFill="1" applyBorder="1" applyAlignment="1">
      <alignment horizontal="center" vertical="center" textRotation="90"/>
    </xf>
    <xf numFmtId="169" fontId="14" fillId="28" borderId="40" xfId="65" applyNumberFormat="1" applyFont="1" applyFill="1" applyBorder="1" applyAlignment="1">
      <alignment horizontal="center" vertical="center" textRotation="90"/>
    </xf>
    <xf numFmtId="3" fontId="7" fillId="26" borderId="99" xfId="65" applyNumberFormat="1" applyFont="1" applyFill="1" applyBorder="1" applyAlignment="1">
      <alignment horizontal="center"/>
    </xf>
    <xf numFmtId="3" fontId="7" fillId="26" borderId="100" xfId="65" applyNumberFormat="1" applyFont="1" applyFill="1" applyBorder="1" applyAlignment="1">
      <alignment horizontal="center"/>
    </xf>
    <xf numFmtId="3" fontId="7" fillId="26" borderId="74" xfId="65" applyNumberFormat="1" applyFont="1" applyFill="1" applyBorder="1" applyAlignment="1">
      <alignment horizontal="center"/>
    </xf>
    <xf numFmtId="169" fontId="7" fillId="38" borderId="99" xfId="65" applyNumberFormat="1" applyFont="1" applyFill="1" applyBorder="1" applyAlignment="1">
      <alignment horizontal="center"/>
    </xf>
    <xf numFmtId="169" fontId="7" fillId="38" borderId="100" xfId="65" applyNumberFormat="1" applyFont="1" applyFill="1" applyBorder="1" applyAlignment="1">
      <alignment horizontal="center"/>
    </xf>
    <xf numFmtId="169" fontId="7" fillId="38" borderId="74" xfId="65" applyNumberFormat="1" applyFont="1" applyFill="1" applyBorder="1" applyAlignment="1">
      <alignment horizontal="center"/>
    </xf>
    <xf numFmtId="169" fontId="7" fillId="25" borderId="100" xfId="65" applyNumberFormat="1" applyFont="1" applyFill="1" applyBorder="1" applyAlignment="1">
      <alignment horizontal="center"/>
    </xf>
    <xf numFmtId="169" fontId="7" fillId="25" borderId="74" xfId="65" applyNumberFormat="1" applyFont="1" applyFill="1" applyBorder="1" applyAlignment="1">
      <alignment horizontal="center"/>
    </xf>
    <xf numFmtId="169" fontId="30" fillId="28" borderId="104" xfId="65" applyNumberFormat="1" applyFont="1" applyFill="1" applyBorder="1" applyAlignment="1">
      <alignment horizontal="center"/>
    </xf>
    <xf numFmtId="169" fontId="30" fillId="28" borderId="63" xfId="65" applyNumberFormat="1" applyFont="1" applyFill="1" applyBorder="1" applyAlignment="1">
      <alignment horizontal="center"/>
    </xf>
    <xf numFmtId="169" fontId="87" fillId="28" borderId="34" xfId="65" applyNumberFormat="1" applyFont="1" applyFill="1" applyBorder="1" applyAlignment="1">
      <alignment horizontal="center" vertical="center" textRotation="90" wrapText="1"/>
    </xf>
    <xf numFmtId="169" fontId="87" fillId="28" borderId="36" xfId="65" applyNumberFormat="1" applyFont="1" applyFill="1" applyBorder="1" applyAlignment="1">
      <alignment horizontal="center" vertical="center" textRotation="90" wrapText="1"/>
    </xf>
    <xf numFmtId="169" fontId="87" fillId="28" borderId="75" xfId="65" applyNumberFormat="1" applyFont="1" applyFill="1" applyBorder="1" applyAlignment="1">
      <alignment horizontal="center" vertical="center" textRotation="90" wrapText="1"/>
    </xf>
    <xf numFmtId="4" fontId="30" fillId="28" borderId="69" xfId="65" applyNumberFormat="1" applyFont="1" applyFill="1" applyBorder="1" applyAlignment="1">
      <alignment horizontal="center"/>
    </xf>
    <xf numFmtId="4" fontId="30" fillId="28" borderId="70" xfId="65" applyNumberFormat="1" applyFont="1" applyFill="1" applyBorder="1" applyAlignment="1">
      <alignment horizontal="center"/>
    </xf>
    <xf numFmtId="192" fontId="30" fillId="28" borderId="97" xfId="65" applyNumberFormat="1" applyFont="1" applyFill="1" applyBorder="1" applyAlignment="1">
      <alignment horizontal="center"/>
    </xf>
    <xf numFmtId="192" fontId="30" fillId="28" borderId="67" xfId="65" applyNumberFormat="1" applyFont="1" applyFill="1" applyBorder="1" applyAlignment="1">
      <alignment horizontal="center"/>
    </xf>
    <xf numFmtId="169" fontId="7" fillId="36" borderId="25" xfId="65" applyNumberFormat="1" applyFont="1" applyFill="1" applyBorder="1" applyAlignment="1">
      <alignment horizontal="center"/>
    </xf>
    <xf numFmtId="169" fontId="7" fillId="36" borderId="8" xfId="65" applyNumberFormat="1" applyFont="1" applyFill="1" applyBorder="1" applyAlignment="1">
      <alignment horizontal="center"/>
    </xf>
    <xf numFmtId="169" fontId="7" fillId="36" borderId="26" xfId="65" applyNumberFormat="1" applyFont="1" applyFill="1" applyBorder="1" applyAlignment="1">
      <alignment horizontal="center"/>
    </xf>
    <xf numFmtId="169" fontId="7" fillId="36" borderId="99" xfId="65" applyNumberFormat="1" applyFont="1" applyFill="1" applyBorder="1" applyAlignment="1">
      <alignment horizontal="center" vertical="center" wrapText="1"/>
    </xf>
    <xf numFmtId="169" fontId="7" fillId="36" borderId="61" xfId="65" applyNumberFormat="1" applyFont="1" applyFill="1" applyBorder="1" applyAlignment="1">
      <alignment horizontal="center" vertical="center" wrapText="1"/>
    </xf>
    <xf numFmtId="169" fontId="7" fillId="36" borderId="40" xfId="65" applyNumberFormat="1" applyFont="1" applyFill="1" applyBorder="1" applyAlignment="1">
      <alignment horizontal="center" vertical="center" wrapText="1"/>
    </xf>
    <xf numFmtId="169" fontId="7" fillId="29" borderId="99" xfId="65" applyNumberFormat="1" applyFont="1" applyFill="1" applyBorder="1" applyAlignment="1">
      <alignment horizontal="center" vertical="center" wrapText="1"/>
    </xf>
    <xf numFmtId="169" fontId="7" fillId="29" borderId="61" xfId="65" applyNumberFormat="1" applyFont="1" applyFill="1" applyBorder="1" applyAlignment="1">
      <alignment horizontal="center" vertical="center" wrapText="1"/>
    </xf>
    <xf numFmtId="169" fontId="7" fillId="29" borderId="40" xfId="65" applyNumberFormat="1" applyFont="1" applyFill="1" applyBorder="1" applyAlignment="1">
      <alignment horizontal="center" vertical="center" wrapText="1"/>
    </xf>
    <xf numFmtId="169" fontId="7" fillId="30" borderId="25" xfId="65" applyNumberFormat="1" applyFont="1" applyFill="1" applyBorder="1" applyAlignment="1">
      <alignment horizontal="center"/>
    </xf>
    <xf numFmtId="169" fontId="7" fillId="30" borderId="8" xfId="65" applyNumberFormat="1" applyFont="1" applyFill="1" applyBorder="1" applyAlignment="1">
      <alignment horizontal="center"/>
    </xf>
    <xf numFmtId="169" fontId="7" fillId="30" borderId="26" xfId="65" applyNumberFormat="1" applyFont="1" applyFill="1" applyBorder="1" applyAlignment="1">
      <alignment horizontal="center"/>
    </xf>
    <xf numFmtId="169" fontId="7" fillId="28" borderId="25" xfId="65" applyNumberFormat="1" applyFont="1" applyFill="1" applyBorder="1" applyAlignment="1">
      <alignment horizontal="center"/>
    </xf>
    <xf numFmtId="169" fontId="7" fillId="28" borderId="8" xfId="65" applyNumberFormat="1" applyFont="1" applyFill="1" applyBorder="1" applyAlignment="1">
      <alignment horizontal="center"/>
    </xf>
    <xf numFmtId="169" fontId="7" fillId="28" borderId="26" xfId="65" applyNumberFormat="1" applyFont="1" applyFill="1" applyBorder="1" applyAlignment="1">
      <alignment horizontal="center"/>
    </xf>
    <xf numFmtId="169" fontId="10" fillId="25" borderId="25" xfId="89" applyNumberFormat="1" applyFont="1" applyFill="1" applyBorder="1" applyAlignment="1">
      <alignment horizontal="center"/>
    </xf>
    <xf numFmtId="169" fontId="10" fillId="25" borderId="8" xfId="89" applyNumberFormat="1" applyFont="1" applyFill="1" applyBorder="1" applyAlignment="1">
      <alignment horizontal="center"/>
    </xf>
    <xf numFmtId="169" fontId="10" fillId="25" borderId="26" xfId="89" applyNumberFormat="1" applyFont="1" applyFill="1" applyBorder="1" applyAlignment="1">
      <alignment horizontal="center"/>
    </xf>
    <xf numFmtId="169" fontId="7" fillId="26" borderId="25" xfId="65" applyNumberFormat="1" applyFont="1" applyFill="1" applyBorder="1" applyAlignment="1">
      <alignment horizontal="center"/>
    </xf>
    <xf numFmtId="169" fontId="7" fillId="26" borderId="8" xfId="65" applyNumberFormat="1" applyFont="1" applyFill="1" applyBorder="1" applyAlignment="1">
      <alignment horizontal="center"/>
    </xf>
    <xf numFmtId="169" fontId="7" fillId="26" borderId="26" xfId="65" applyNumberFormat="1" applyFont="1" applyFill="1" applyBorder="1" applyAlignment="1">
      <alignment horizontal="center"/>
    </xf>
    <xf numFmtId="169" fontId="7" fillId="38" borderId="25" xfId="65" applyNumberFormat="1" applyFont="1" applyFill="1" applyBorder="1" applyAlignment="1">
      <alignment horizontal="center"/>
    </xf>
    <xf numFmtId="0" fontId="129" fillId="0" borderId="65" xfId="86" applyFont="1" applyFill="1" applyBorder="1" applyAlignment="1">
      <alignment horizontal="center" vertical="top"/>
    </xf>
    <xf numFmtId="0" fontId="132" fillId="0" borderId="10" xfId="0" applyFont="1" applyBorder="1" applyAlignment="1">
      <alignment horizontal="center" wrapText="1"/>
    </xf>
    <xf numFmtId="0" fontId="133" fillId="0" borderId="10" xfId="0" applyFont="1" applyBorder="1" applyAlignment="1">
      <alignment horizontal="center" wrapText="1"/>
    </xf>
    <xf numFmtId="0" fontId="131" fillId="0" borderId="10" xfId="88" applyFont="1" applyFill="1" applyBorder="1" applyAlignment="1">
      <alignment horizontal="center" vertical="center"/>
    </xf>
    <xf numFmtId="2" fontId="140" fillId="44" borderId="10" xfId="0" applyNumberFormat="1" applyFont="1" applyFill="1" applyBorder="1" applyAlignment="1">
      <alignment horizontal="center" vertical="center"/>
    </xf>
    <xf numFmtId="0" fontId="16" fillId="0" borderId="167" xfId="78" applyFont="1" applyBorder="1" applyAlignment="1">
      <alignment horizontal="center" wrapText="1"/>
    </xf>
    <xf numFmtId="0" fontId="16" fillId="0" borderId="168" xfId="78" applyFont="1" applyBorder="1" applyAlignment="1">
      <alignment horizontal="center" wrapText="1"/>
    </xf>
    <xf numFmtId="0" fontId="16" fillId="0" borderId="169" xfId="78" applyFont="1" applyBorder="1" applyAlignment="1">
      <alignment horizontal="center" wrapText="1"/>
    </xf>
    <xf numFmtId="0" fontId="5" fillId="0" borderId="170" xfId="78" applyFont="1" applyBorder="1" applyAlignment="1">
      <alignment horizontal="center" wrapText="1"/>
    </xf>
    <xf numFmtId="0" fontId="5" fillId="0" borderId="171" xfId="78" applyFont="1" applyBorder="1" applyAlignment="1">
      <alignment horizontal="center" wrapText="1"/>
    </xf>
    <xf numFmtId="0" fontId="5" fillId="0" borderId="172" xfId="78" applyFont="1" applyBorder="1" applyAlignment="1">
      <alignment horizontal="center" wrapText="1"/>
    </xf>
    <xf numFmtId="0" fontId="115" fillId="0" borderId="99" xfId="78" applyFont="1" applyBorder="1" applyAlignment="1">
      <alignment horizontal="center"/>
    </xf>
    <xf numFmtId="0" fontId="115" fillId="0" borderId="100" xfId="78" applyFont="1" applyBorder="1" applyAlignment="1">
      <alignment horizontal="center"/>
    </xf>
    <xf numFmtId="0" fontId="115" fillId="0" borderId="74" xfId="78" applyFont="1" applyBorder="1" applyAlignment="1">
      <alignment horizontal="center"/>
    </xf>
    <xf numFmtId="4" fontId="5" fillId="0" borderId="0" xfId="78" applyNumberFormat="1" applyFont="1" applyBorder="1" applyAlignment="1"/>
    <xf numFmtId="0" fontId="1" fillId="0" borderId="0" xfId="78" applyBorder="1" applyAlignment="1"/>
    <xf numFmtId="0" fontId="1" fillId="0" borderId="59" xfId="78" applyBorder="1" applyAlignment="1"/>
    <xf numFmtId="4" fontId="5" fillId="0" borderId="61" xfId="78" applyNumberFormat="1" applyFont="1" applyBorder="1" applyAlignment="1"/>
    <xf numFmtId="0" fontId="11" fillId="22" borderId="25" xfId="0" applyFont="1" applyFill="1" applyBorder="1" applyAlignment="1">
      <alignment horizontal="center"/>
    </xf>
    <xf numFmtId="0" fontId="11" fillId="22" borderId="8" xfId="0" applyFont="1" applyFill="1" applyBorder="1" applyAlignment="1">
      <alignment horizontal="center"/>
    </xf>
    <xf numFmtId="0" fontId="11" fillId="22" borderId="26" xfId="0" applyFont="1" applyFill="1" applyBorder="1" applyAlignment="1">
      <alignment horizontal="center"/>
    </xf>
    <xf numFmtId="0" fontId="11" fillId="25" borderId="25" xfId="0" applyFont="1" applyFill="1" applyBorder="1" applyAlignment="1">
      <alignment horizontal="center"/>
    </xf>
    <xf numFmtId="0" fontId="11" fillId="25" borderId="8" xfId="0" applyFont="1" applyFill="1" applyBorder="1" applyAlignment="1">
      <alignment horizontal="center"/>
    </xf>
    <xf numFmtId="0" fontId="11" fillId="25" borderId="26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</cellXfs>
  <cellStyles count="136">
    <cellStyle name="%20 - Vurgu1" xfId="1"/>
    <cellStyle name="%20 - Vurgu2" xfId="2"/>
    <cellStyle name="%20 - Vurgu3" xfId="3"/>
    <cellStyle name="%20 - Vurgu4" xfId="4"/>
    <cellStyle name="%20 - Vurgu5" xfId="5"/>
    <cellStyle name="%20 - Vurgu6" xfId="6"/>
    <cellStyle name="%40 - Vurgu1" xfId="7"/>
    <cellStyle name="%40 - Vurgu2" xfId="8"/>
    <cellStyle name="%40 - Vurgu3" xfId="9"/>
    <cellStyle name="%40 - Vurgu4" xfId="10"/>
    <cellStyle name="%40 - Vurgu5" xfId="11"/>
    <cellStyle name="%40 - Vurgu6" xfId="12"/>
    <cellStyle name="%60 - Vurgu1" xfId="13"/>
    <cellStyle name="%60 - Vurgu2" xfId="14"/>
    <cellStyle name="%60 - Vurgu3" xfId="15"/>
    <cellStyle name="%60 - Vurgu4" xfId="16"/>
    <cellStyle name="%60 - Vurgu5" xfId="17"/>
    <cellStyle name="%60 - Vurgu6" xfId="18"/>
    <cellStyle name="Açıklama Metni" xfId="19"/>
    <cellStyle name="Ana Başlık" xfId="20"/>
    <cellStyle name="args.style" xfId="21"/>
    <cellStyle name="Bağlı Hücre" xfId="22"/>
    <cellStyle name="Başlık 1" xfId="23"/>
    <cellStyle name="Başlık 2" xfId="24"/>
    <cellStyle name="Başlık 3" xfId="25"/>
    <cellStyle name="Başlık 4" xfId="26"/>
    <cellStyle name="Binlik Ayracı [0]_SEİÇSAYFA-9" xfId="27"/>
    <cellStyle name="Binlik Ayracı [0]_SEİÇSAYFA-9 4" xfId="123"/>
    <cellStyle name="Binlik Ayracı 2" xfId="28"/>
    <cellStyle name="Calc Currency (0)" xfId="29"/>
    <cellStyle name="Çıkış" xfId="30"/>
    <cellStyle name="Comma 10 3 2" xfId="129"/>
    <cellStyle name="Comma0" xfId="31"/>
    <cellStyle name="Copied" xfId="32"/>
    <cellStyle name="COST1" xfId="33"/>
    <cellStyle name="Currency" xfId="135" builtinId="4"/>
    <cellStyle name="Currency [0] 2" xfId="125"/>
    <cellStyle name="Currency 2" xfId="34"/>
    <cellStyle name="Currency 2 2" xfId="126"/>
    <cellStyle name="Currency0" xfId="35"/>
    <cellStyle name="Date" xfId="36"/>
    <cellStyle name="Entered" xfId="37"/>
    <cellStyle name="Fixed" xfId="38"/>
    <cellStyle name="Giriş" xfId="39"/>
    <cellStyle name="Grey" xfId="40"/>
    <cellStyle name="Header1" xfId="41"/>
    <cellStyle name="Header2" xfId="42"/>
    <cellStyle name="Hesaplama" xfId="43"/>
    <cellStyle name="Hyperlink" xfId="44" builtinId="8"/>
    <cellStyle name="Input [yellow]" xfId="45"/>
    <cellStyle name="Input Cells" xfId="46"/>
    <cellStyle name="İşaretli Hücre" xfId="47"/>
    <cellStyle name="İyi" xfId="48"/>
    <cellStyle name="Köprü 2" xfId="124"/>
    <cellStyle name="Köprü_ALMURRA VILAS 1" xfId="49"/>
    <cellStyle name="Kötü" xfId="50"/>
    <cellStyle name="Linked Cells" xfId="51"/>
    <cellStyle name="Millares [0]_detalle" xfId="52"/>
    <cellStyle name="Millares_detalle" xfId="53"/>
    <cellStyle name="Milliers [0]_!!!GO" xfId="54"/>
    <cellStyle name="Milliers_!!!GO" xfId="55"/>
    <cellStyle name="Moneda [0]_detalle" xfId="56"/>
    <cellStyle name="Moneda_detalle" xfId="57"/>
    <cellStyle name="Monétaire [0]_!!!GO" xfId="58"/>
    <cellStyle name="Monétaire_!!!GO" xfId="59"/>
    <cellStyle name="Normal" xfId="0" builtinId="0"/>
    <cellStyle name="Normal - Style1" xfId="60"/>
    <cellStyle name="Normal 10" xfId="132"/>
    <cellStyle name="Normal 19" xfId="133"/>
    <cellStyle name="Normal 2" xfId="61"/>
    <cellStyle name="Normal 2 2" xfId="62"/>
    <cellStyle name="Normal 2 2 2" xfId="63"/>
    <cellStyle name="Normal 2 2 3" xfId="64"/>
    <cellStyle name="Normal 2 2 4" xfId="65"/>
    <cellStyle name="Normal 2 2_ALMURRA VILAS 1" xfId="66"/>
    <cellStyle name="Normal 2 3" xfId="127"/>
    <cellStyle name="Normal 2_ALMURRA VILAS 1" xfId="67"/>
    <cellStyle name="Normal 20" xfId="134"/>
    <cellStyle name="Normal 21" xfId="130"/>
    <cellStyle name="Normal 3" xfId="68"/>
    <cellStyle name="Normal 3 2" xfId="69"/>
    <cellStyle name="Normal 3_Concrete formwork" xfId="70"/>
    <cellStyle name="Normal 32" xfId="131"/>
    <cellStyle name="Normal 4" xfId="71"/>
    <cellStyle name="Normal 4 2" xfId="72"/>
    <cellStyle name="Normal 4 3" xfId="73"/>
    <cellStyle name="Normal 4_ALMURRA VILAS 1" xfId="74"/>
    <cellStyle name="Normal 5" xfId="75"/>
    <cellStyle name="Normal 6" xfId="76"/>
    <cellStyle name="Normal 7" xfId="77"/>
    <cellStyle name="Normal 8" xfId="78"/>
    <cellStyle name="Normal_12.3-Trafo binası" xfId="79"/>
    <cellStyle name="Normal_Al Ghanem General Expences 2" xfId="80"/>
    <cellStyle name="Normal_Al Ghanem General Expences 2 2" xfId="81"/>
    <cellStyle name="Normal_BAZ TEMMUZ ÇALIŞMA PROGRAMI 2" xfId="82"/>
    <cellStyle name="Normal_Book2" xfId="83"/>
    <cellStyle name="Normal_Book2 2" xfId="84"/>
    <cellStyle name="Normal_Book2 3" xfId="85"/>
    <cellStyle name="Normal_BQ-MSTER" xfId="86"/>
    <cellStyle name="Normal_BQ-MSTER (4)" xfId="87"/>
    <cellStyle name="Normal_BQ-MSTER 2" xfId="88"/>
    <cellStyle name="Normal_CEZAYİR GENEL GİDERLER MAYISMelih bey BAB AL ZAWAR GENEL GİDER 2" xfId="89"/>
    <cellStyle name="Normal_CEZAYİR GENEL GİDERLER MAYISMelih bey BAB AL ZAWAR GENEL GİDER 2 2" xfId="90"/>
    <cellStyle name="Normal_DEMİR DONATI 3_aralık '07 - hk2" xfId="91"/>
    <cellStyle name="Normal_keşif- analizler" xfId="92"/>
    <cellStyle name="Normal_LABOUR UNIT COST" xfId="93"/>
    <cellStyle name="Normal_RATES" xfId="94"/>
    <cellStyle name="Normal_Tasaron Hakedis Örneği 11.7.06 2" xfId="95"/>
    <cellStyle name="Normal_YEŞİL DEFTER_1" xfId="96"/>
    <cellStyle name="Not" xfId="97"/>
    <cellStyle name="Nötr" xfId="98"/>
    <cellStyle name="Œ…‹æØ‚è [0.00]_Region Orders (2)" xfId="99"/>
    <cellStyle name="Œ…‹æØ‚è_Region Orders (2)" xfId="100"/>
    <cellStyle name="ParaBirimi [0]_ALMURRA VILAS 1" xfId="101"/>
    <cellStyle name="ParaBirimi_ahmet selim telli binası" xfId="102"/>
    <cellStyle name="per.style" xfId="103"/>
    <cellStyle name="Percent [2]" xfId="104"/>
    <cellStyle name="Percent 2" xfId="128"/>
    <cellStyle name="pricing" xfId="105"/>
    <cellStyle name="PSChar" xfId="106"/>
    <cellStyle name="RevList" xfId="107"/>
    <cellStyle name="Standard_aktuell" xfId="108"/>
    <cellStyle name="Stil 1" xfId="109"/>
    <cellStyle name="Style 1" xfId="110"/>
    <cellStyle name="Subtotal" xfId="111"/>
    <cellStyle name="Toplam" xfId="112"/>
    <cellStyle name="Uyarı Metni" xfId="113"/>
    <cellStyle name="Virgül [0]_ hakediş 3" xfId="114"/>
    <cellStyle name="Virgül_ hakediş 3" xfId="115"/>
    <cellStyle name="Vurgu1" xfId="116"/>
    <cellStyle name="Vurgu2" xfId="117"/>
    <cellStyle name="Vurgu3" xfId="118"/>
    <cellStyle name="Vurgu4" xfId="119"/>
    <cellStyle name="Vurgu5" xfId="120"/>
    <cellStyle name="Vurgu6" xfId="121"/>
    <cellStyle name="Yüzde 2" xfId="122"/>
  </cellStyles>
  <dxfs count="1">
    <dxf>
      <font>
        <condense val="0"/>
        <extend val="0"/>
        <color indexed="44"/>
      </font>
    </dxf>
  </dxfs>
  <tableStyles count="0" defaultTableStyle="TableStyleMedium9" defaultPivotStyle="PivotStyleLight16"/>
  <colors>
    <mruColors>
      <color rgb="FF00FF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D1-43D0-9D03-526DAC11B5A1}"/>
            </c:ext>
          </c:extLst>
        </c:ser>
        <c:axId val="115947008"/>
        <c:axId val="115948544"/>
      </c:barChart>
      <c:catAx>
        <c:axId val="115947008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948544"/>
        <c:crosses val="autoZero"/>
        <c:auto val="1"/>
        <c:lblAlgn val="ctr"/>
        <c:lblOffset val="100"/>
      </c:catAx>
      <c:valAx>
        <c:axId val="11594854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594700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E3-4FF5-8AFA-88548838360C}"/>
            </c:ext>
          </c:extLst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 lang="en-GB"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64-4902-BB3D-001FC348B142}"/>
            </c:ext>
          </c:extLst>
        </c:ser>
        <c:axId val="118940416"/>
        <c:axId val="118941952"/>
      </c:barChart>
      <c:catAx>
        <c:axId val="118940416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941952"/>
        <c:crosses val="autoZero"/>
        <c:auto val="1"/>
        <c:lblAlgn val="ctr"/>
        <c:lblOffset val="100"/>
      </c:catAx>
      <c:valAx>
        <c:axId val="118941952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8940416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BE-4750-97A2-54FE601D9AB8}"/>
            </c:ext>
          </c:extLst>
        </c:ser>
        <c:firstSliceAng val="0"/>
      </c:pieChart>
      <c:spPr>
        <a:noFill/>
        <a:ln w="25400">
          <a:noFill/>
        </a:ln>
      </c:spPr>
    </c:plotArea>
    <c:legend>
      <c:legendPos val="r"/>
      <c:txPr>
        <a:bodyPr/>
        <a:lstStyle/>
        <a:p>
          <a:pPr rtl="0">
            <a:defRPr lang="en-GB"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1459869311608962"/>
          <c:y val="4.5333451389197033E-2"/>
          <c:w val="0.61459897824402565"/>
          <c:h val="0.79733540972760952"/>
        </c:manualLayout>
      </c:layout>
      <c:barChart>
        <c:barDir val="bar"/>
        <c:grouping val="clustered"/>
        <c:ser>
          <c:idx val="0"/>
          <c:order val="0"/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C6-4F80-A681-DECFEBC8EAEC}"/>
            </c:ext>
          </c:extLst>
        </c:ser>
        <c:axId val="119533568"/>
        <c:axId val="119535104"/>
      </c:barChart>
      <c:catAx>
        <c:axId val="119533568"/>
        <c:scaling>
          <c:orientation val="minMax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9535104"/>
        <c:crosses val="autoZero"/>
        <c:auto val="1"/>
        <c:lblAlgn val="ctr"/>
        <c:lblOffset val="100"/>
      </c:catAx>
      <c:valAx>
        <c:axId val="11953510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lang="en-GB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1953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27265322242247"/>
          <c:y val="0.4480011198600175"/>
          <c:w val="8.2408938694575412E-2"/>
          <c:h val="6.4000279965004403E-2"/>
        </c:manualLayout>
      </c:layout>
      <c:txPr>
        <a:bodyPr/>
        <a:lstStyle/>
        <a:p>
          <a:pPr>
            <a:defRPr lang="en-GB"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745523222053462"/>
          <c:y val="0.10210240152966002"/>
          <c:w val="0.43393183014808556"/>
          <c:h val="0.798801141379098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D7-410B-B32C-CD8F4A4DC678}"/>
            </c:ext>
          </c:extLst>
        </c:ser>
        <c:firstSliceAng val="119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31702049902064"/>
          <c:y val="0.16816879871997983"/>
          <c:w val="0.32463321040566134"/>
          <c:h val="0.669671561325121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222</xdr:row>
      <xdr:rowOff>28575</xdr:rowOff>
    </xdr:from>
    <xdr:to>
      <xdr:col>0</xdr:col>
      <xdr:colOff>0</xdr:colOff>
      <xdr:row>239</xdr:row>
      <xdr:rowOff>28575</xdr:rowOff>
    </xdr:to>
    <xdr:graphicFrame macro="">
      <xdr:nvGraphicFramePr>
        <xdr:cNvPr id="2049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222</xdr:row>
      <xdr:rowOff>19050</xdr:rowOff>
    </xdr:from>
    <xdr:to>
      <xdr:col>0</xdr:col>
      <xdr:colOff>0</xdr:colOff>
      <xdr:row>238</xdr:row>
      <xdr:rowOff>152400</xdr:rowOff>
    </xdr:to>
    <xdr:graphicFrame macro="">
      <xdr:nvGraphicFramePr>
        <xdr:cNvPr id="2050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225</xdr:row>
      <xdr:rowOff>28575</xdr:rowOff>
    </xdr:from>
    <xdr:to>
      <xdr:col>0</xdr:col>
      <xdr:colOff>0</xdr:colOff>
      <xdr:row>242</xdr:row>
      <xdr:rowOff>28575</xdr:rowOff>
    </xdr:to>
    <xdr:graphicFrame macro="">
      <xdr:nvGraphicFramePr>
        <xdr:cNvPr id="5121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225</xdr:row>
      <xdr:rowOff>19050</xdr:rowOff>
    </xdr:from>
    <xdr:to>
      <xdr:col>0</xdr:col>
      <xdr:colOff>0</xdr:colOff>
      <xdr:row>241</xdr:row>
      <xdr:rowOff>152400</xdr:rowOff>
    </xdr:to>
    <xdr:graphicFrame macro="">
      <xdr:nvGraphicFramePr>
        <xdr:cNvPr id="512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260</xdr:row>
      <xdr:rowOff>152400</xdr:rowOff>
    </xdr:from>
    <xdr:to>
      <xdr:col>7</xdr:col>
      <xdr:colOff>1238250</xdr:colOff>
      <xdr:row>283</xdr:row>
      <xdr:rowOff>0</xdr:rowOff>
    </xdr:to>
    <xdr:graphicFrame macro="">
      <xdr:nvGraphicFramePr>
        <xdr:cNvPr id="8193" name="1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285750</xdr:colOff>
      <xdr:row>261</xdr:row>
      <xdr:rowOff>38100</xdr:rowOff>
    </xdr:from>
    <xdr:to>
      <xdr:col>22</xdr:col>
      <xdr:colOff>847725</xdr:colOff>
      <xdr:row>280</xdr:row>
      <xdr:rowOff>133350</xdr:rowOff>
    </xdr:to>
    <xdr:graphicFrame macro="">
      <xdr:nvGraphicFramePr>
        <xdr:cNvPr id="81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2719918</xdr:colOff>
      <xdr:row>0</xdr:row>
      <xdr:rowOff>84668</xdr:rowOff>
    </xdr:from>
    <xdr:to>
      <xdr:col>4</xdr:col>
      <xdr:colOff>3979334</xdr:colOff>
      <xdr:row>0</xdr:row>
      <xdr:rowOff>1697392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2168" y="84668"/>
          <a:ext cx="1259416" cy="16127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tilla/YFZ/DS&#30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Reception%20Waithera/Rayplan%20Architects/Mizizi%20Estate/Wachira%20B.Q/BQs%20for%20Contract%20-%20Phase%201&amp;2/Mechanical/mech%20priced%20MIZIZI%20P&amp;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pc\Reception%20Waithera\Reception%20Waithera\Rayplan%20Architects\Mizizi%20Estate\Wachira%20B.Q\BQs%20for%20Contract%20-%20Phase%201&amp;2\Mechanical\mech%20priced%20MIZIZI%20P&amp;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DNAN\D1%20TH\D1TH~1\Belgelerim\Tophak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re\G&#252;lermak%20Do&#287;u&#351;\Documents%20and%20Settings\EMRE%20&#199;EL&#304;K\Desktop\Atlant\Kazda&#287;&#305;\Metrajlar%20ve%20Hakedi&#351;ler\WINDOWS\Desktop\b&#231;%20hak%20me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RYAMAN\HAK\ERIH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RSEN\hakedis\Documents%20and%20Settings\demarsins\Belgelerim\B&#304;RSEN\B&#220;Y&#220;K&#199;EKMECE%20BLD\B.&#199;EKMECE%20ASFALT\ASFALT%202\HAKED&#304;&#350;LER\YAS&#304;N\B&#304;RSEN\2.KISIM\&#304;&#350;%20PROGRAMI\DB\DB1\GIM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YAS&#304;N/B&#304;RSEN/2.KISIM/&#304;&#350;%20PROGRAMI/DB/DB1/GIM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tugrulP/Desktop/GENEL%20GIDER%20TABLOSU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TC%20QUOTATION%20MAY%202008%20SUB%20CONTRACTING%20PRICE-r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ception%20Waithera\Rayplan%20Architects\Mizizi%20Estate\Wachira%20B.Q\BQs%20for%20Contract%20-%20Phase%201&amp;2\Mechanical\mech%20priced%20MIZIZI%20P&amp;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#220;TEAH&#304;TLER\D1%20TH\D1TH~1\Belgelerim\Tophak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#220;TEAH&#304;TLER\D1%20TH\D1TH~1\BIAT\hakek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DNAN\D1%20TH\D1TH~1\BIAT\hakek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berk/haked&#305;s01/hekedi&#351;%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Belgelerim/&#304;K&#304;TELL&#304;%20HAKED&#304;&#350;/14%20NOLU%20HAKED&#304;&#350;/14%20NOLU%20HAKED&#304;&#3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0;NARTAN%20&#304;N&#350;%20TELEKOM%20R&#214;LEV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etin%20Aras\Belgelerim\M.ARAS%20YEDEK\TEKL&#304;F\ADANA%20AKBANK\ADANA%20AKBANK(CEGELEC%20G&#304;DEN))\AKBANK%20KE&#350;&#304;F(cegelec)(G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TDUV_KUR"/>
      <sheetName val="İlk.bil."/>
      <sheetName val="DUV_met1ALİ2"/>
      <sheetName val="DUV_met1 ALİ"/>
      <sheetName val="DUV_met1"/>
      <sheetName val="DUV_met1 (2)"/>
      <sheetName val="BLOKAJ"/>
      <sheetName val="KÖPÜK"/>
      <sheetName val="sıva"/>
      <sheetName val="denizlik"/>
      <sheetName val="ısıkanalı"/>
      <sheetName val="DSİ"/>
      <sheetName val="yoca_kur"/>
      <sheetName val="BRIM_ICMAL"/>
      <sheetName val="POZLAR"/>
      <sheetName val="YOLOT_KUR"/>
      <sheetName val="TESKAN_KUR"/>
      <sheetName val="ISITES_KUR"/>
      <sheetName val="TELBAĞ_KUR"/>
      <sheetName val="UNIT PRICE ANALYSIS (U.P.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&amp;D"/>
      <sheetName val="PRICED"/>
      <sheetName val="Sheet1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&amp;D"/>
      <sheetName val="PRICED"/>
      <sheetName val="Sheet1"/>
    </sheetNames>
    <sheetDataSet>
      <sheetData sheetId="0"/>
      <sheetData sheetId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mir"/>
      <sheetName val="1.ön sayfa"/>
      <sheetName val="2.tahakkuk"/>
      <sheetName val="3.arka sayfa"/>
      <sheetName val="4.icmal"/>
      <sheetName val="4.a .teminat"/>
      <sheetName val="5.öd.gün hes."/>
      <sheetName val="6.eskolasyon"/>
      <sheetName val="6-a.Fat.ihz"/>
      <sheetName val="7.proje bedeli"/>
      <sheetName val="8.imalat keş.öz"/>
      <sheetName val="9.10.seviye icmali"/>
      <sheetName val="11-44.imal.sev.tab."/>
      <sheetName val="45.ihzarat icmal"/>
      <sheetName val="46.46-1.ihz.şant. içi"/>
      <sheetName val="47,54,58.İhzarat tutanakları"/>
      <sheetName val="48.ihz. şant.dışı"/>
      <sheetName val="49-53.ihz.tesisat"/>
      <sheetName val="55.ihz.elk.kuvvet"/>
      <sheetName val="56-57.İhz.elk.zayıf"/>
      <sheetName val="57-1.ihz.elk.eritme"/>
      <sheetName val="59.fiat farkı icmal"/>
      <sheetName val="60.d.ff"/>
      <sheetName val="61.d.ff.ih.t."/>
      <sheetName val="62.d.irs."/>
      <sheetName val="63.ç.ff"/>
      <sheetName val="64.ç.ff.im.t."/>
      <sheetName val="65.ç.iml"/>
      <sheetName val="66.a.ff"/>
      <sheetName val="67.a.ff.im.t."/>
      <sheetName val="68.a.iml"/>
      <sheetName val="laroux"/>
      <sheetName val="formül"/>
      <sheetName val="Sayfa1"/>
      <sheetName val="Genel Bilgiler"/>
      <sheetName val="HAK.KAPAK"/>
      <sheetName val="TAHAKKUK"/>
      <sheetName val="HAK.RAP.OZET"/>
      <sheetName val="ICMAL"/>
      <sheetName val="KESIN TEMINAT"/>
      <sheetName val="FF.KES.TEM"/>
      <sheetName val="AVANS KES."/>
      <sheetName val="KARARNAME F.F.İCMALİ"/>
      <sheetName val="G.BEDEL ESKALASYON"/>
      <sheetName val="G. DOLUM GÖTÜRÜ"/>
      <sheetName val="İMALAT KEŞİF ÖZET"/>
      <sheetName val="SEVİYE İCMAL"/>
      <sheetName val="FARK SEVİYE"/>
      <sheetName val="A1 BLOK"/>
      <sheetName val="A2 BLOK"/>
      <sheetName val="A3 BLOK"/>
      <sheetName val="A4 BLOK"/>
      <sheetName val="IHZ ICMAL"/>
      <sheetName val="INS.IHZ"/>
      <sheetName val="İNŞ. IHZ.TUT"/>
      <sheetName val="MÜŞ.TES.İHZARAT"/>
      <sheetName val="MÜŞ.TES.TUT"/>
      <sheetName val="D.GAZ İHZARAT"/>
      <sheetName val="D.GAZ IHZ.TUT"/>
      <sheetName val="VİTRİFİYE İHZARAT"/>
      <sheetName val="VİT.TES.TUT"/>
      <sheetName val="ELEKT. İHZARATI"/>
      <sheetName val="ELEKT.TES.TUT"/>
      <sheetName val="ASANSÖR İHZARAT"/>
      <sheetName val="ASANSÖR.TES.TUT"/>
      <sheetName val="3CM MERMER ERİTME"/>
      <sheetName val="2CM MERMER ERİTME"/>
      <sheetName val="SERAMİK ERİTME WC"/>
      <sheetName val="FAYANS ERİTME MUTFAK+WC"/>
      <sheetName val="FFİCMAL"/>
      <sheetName val="ILAN"/>
      <sheetName val="I.TUT"/>
      <sheetName val="RAPOR"/>
      <sheetName val="GRAFIK"/>
      <sheetName val="GRAFIK 1"/>
      <sheetName val="KLASÖR YAZISI"/>
      <sheetName val="1Modülü"/>
      <sheetName val="ISTDUV_K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ön kapak"/>
      <sheetName val="kapak"/>
      <sheetName val="bildirim"/>
      <sheetName val="KESİNTİ"/>
      <sheetName val="dağılım"/>
      <sheetName val="İCMAL"/>
      <sheetName val="A "/>
      <sheetName val="B "/>
      <sheetName val="C "/>
      <sheetName val="D "/>
      <sheetName val="E "/>
      <sheetName val="F "/>
      <sheetName val="G2 ÖN"/>
      <sheetName val="G IŞIKLIK"/>
      <sheetName val="GHI TESİSAT"/>
      <sheetName val="G3"/>
      <sheetName val="H2"/>
      <sheetName val="H3"/>
      <sheetName val="I2"/>
      <sheetName val="J3"/>
      <sheetName val="K"/>
      <sheetName val="parapet"/>
    </sheetNames>
    <sheetDataSet>
      <sheetData sheetId="0" refreshError="1"/>
      <sheetData sheetId="1"/>
      <sheetData sheetId="2"/>
      <sheetData sheetId="3" refreshError="1">
        <row r="11">
          <cell r="E11">
            <v>16587175765.089285</v>
          </cell>
        </row>
      </sheetData>
      <sheetData sheetId="4"/>
      <sheetData sheetId="5" refreshError="1">
        <row r="2">
          <cell r="J2">
            <v>37560</v>
          </cell>
        </row>
      </sheetData>
      <sheetData sheetId="6" refreshError="1">
        <row r="4">
          <cell r="D4" t="str">
            <v>DIŞ CEPHE SIVA VE BOYA YAPILMASI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50">
          <cell r="K50">
            <v>171.76</v>
          </cell>
          <cell r="N50">
            <v>171.76</v>
          </cell>
        </row>
      </sheetData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l_onay"/>
      <sheetName val="İCMAL"/>
      <sheetName val="imalat_icmal"/>
      <sheetName val="inş_iç_tut"/>
      <sheetName val="sıh_iç_tut"/>
      <sheetName val="oto_iç_tut"/>
      <sheetName val="kal_iç_tut"/>
      <sheetName val="br_iç_tut"/>
      <sheetName val="elk_iç_tut"/>
      <sheetName val="inş_iç_er"/>
      <sheetName val="sıh_iç_er"/>
      <sheetName val="sıhhi"/>
      <sheetName val="oto_iç_er"/>
      <sheetName val="elk_iç_er"/>
      <sheetName val="otomatik"/>
      <sheetName val="kal_iç_er"/>
      <sheetName val="kalorifer"/>
      <sheetName val="brülör"/>
      <sheetName val="br_iç_er"/>
      <sheetName val="inş_iç_ihz"/>
      <sheetName val="sıh_iç_ihz"/>
      <sheetName val="kal_iç_ihz"/>
      <sheetName val="br_iç_ihz"/>
      <sheetName val="oto_iç_ihz"/>
      <sheetName val="ihz. icmal"/>
      <sheetName val="tem_hes"/>
      <sheetName val="br ihz. icm"/>
      <sheetName val="avans"/>
      <sheetName val="fiyat_hes_tab"/>
      <sheetName val="dem_fiy_fark"/>
      <sheetName val="elk_iç_ihz"/>
      <sheetName val="çim_fiy_farkı"/>
      <sheetName val="ayakıt"/>
      <sheetName val="mal_FF_icm"/>
      <sheetName val="fat_ihz"/>
      <sheetName val="söz_fiy_fark"/>
      <sheetName val="kap2"/>
      <sheetName val="kap1"/>
      <sheetName val="kar_fiy_fark"/>
      <sheetName val="Module1"/>
      <sheetName val="ISTDUV_KUR"/>
    </sheetNames>
    <sheetDataSet>
      <sheetData sheetId="0" refreshError="1">
        <row r="5">
          <cell r="C5" t="str">
            <v>ÖZEL 1/1</v>
          </cell>
          <cell r="D5" t="str">
            <v>AHŞAP KAPI KANADI</v>
          </cell>
          <cell r="E5" t="str">
            <v>ERAY</v>
          </cell>
          <cell r="F5">
            <v>34632</v>
          </cell>
          <cell r="G5" t="str">
            <v>DSH-112</v>
          </cell>
          <cell r="I5" t="str">
            <v>VAR</v>
          </cell>
          <cell r="J5" t="str">
            <v>m²</v>
          </cell>
          <cell r="K5">
            <v>960000</v>
          </cell>
          <cell r="L5">
            <v>0.7</v>
          </cell>
          <cell r="M5" t="str">
            <v>EVET</v>
          </cell>
          <cell r="N5" t="str">
            <v>ERAY</v>
          </cell>
          <cell r="P5">
            <v>522</v>
          </cell>
        </row>
        <row r="6">
          <cell r="C6" t="str">
            <v>ÖZEL 1/2</v>
          </cell>
          <cell r="D6" t="str">
            <v>AHŞAP PENCERE</v>
          </cell>
          <cell r="E6" t="str">
            <v>ERAY</v>
          </cell>
          <cell r="F6">
            <v>34632</v>
          </cell>
          <cell r="G6" t="str">
            <v>DSH-112</v>
          </cell>
          <cell r="I6" t="str">
            <v>VAR</v>
          </cell>
          <cell r="J6" t="str">
            <v>m²</v>
          </cell>
          <cell r="K6">
            <v>2420000</v>
          </cell>
          <cell r="L6">
            <v>0.7</v>
          </cell>
          <cell r="M6" t="str">
            <v>EVET</v>
          </cell>
          <cell r="N6" t="str">
            <v>ERAY</v>
          </cell>
          <cell r="P6">
            <v>521</v>
          </cell>
        </row>
        <row r="7">
          <cell r="C7" t="str">
            <v>ÖZEL 10</v>
          </cell>
          <cell r="D7" t="str">
            <v>FASARİT</v>
          </cell>
          <cell r="E7" t="str">
            <v>HALİMOĞLU</v>
          </cell>
          <cell r="F7">
            <v>34688</v>
          </cell>
          <cell r="G7" t="str">
            <v>DSH-349</v>
          </cell>
          <cell r="I7" t="str">
            <v>HAYIR</v>
          </cell>
          <cell r="J7" t="str">
            <v>kg</v>
          </cell>
          <cell r="K7">
            <v>30000</v>
          </cell>
          <cell r="L7">
            <v>0.7</v>
          </cell>
          <cell r="M7" t="str">
            <v>EVET</v>
          </cell>
          <cell r="N7" t="str">
            <v>HALİMOĞLU</v>
          </cell>
          <cell r="P7">
            <v>903</v>
          </cell>
        </row>
        <row r="8">
          <cell r="C8" t="str">
            <v>ÖZEL 2</v>
          </cell>
          <cell r="D8" t="str">
            <v>ALÇIPAN</v>
          </cell>
          <cell r="E8" t="str">
            <v>BİLTEPE</v>
          </cell>
          <cell r="F8">
            <v>34659</v>
          </cell>
          <cell r="G8" t="str">
            <v>DSH-233</v>
          </cell>
          <cell r="I8" t="str">
            <v>VAR</v>
          </cell>
          <cell r="J8" t="str">
            <v>m²</v>
          </cell>
          <cell r="K8">
            <v>110000</v>
          </cell>
          <cell r="L8">
            <v>0.7</v>
          </cell>
          <cell r="M8" t="str">
            <v>EVET</v>
          </cell>
          <cell r="N8" t="str">
            <v>BİLTEPE</v>
          </cell>
          <cell r="P8">
            <v>322</v>
          </cell>
        </row>
        <row r="9">
          <cell r="C9" t="str">
            <v>ÖZEL 2</v>
          </cell>
          <cell r="D9" t="str">
            <v>ALÇIPAN</v>
          </cell>
          <cell r="E9" t="str">
            <v>BİLTEPE</v>
          </cell>
          <cell r="F9">
            <v>34659</v>
          </cell>
          <cell r="G9" t="str">
            <v>DSH-233</v>
          </cell>
          <cell r="I9" t="str">
            <v>HAYIR</v>
          </cell>
          <cell r="J9" t="str">
            <v>m²</v>
          </cell>
          <cell r="K9">
            <v>110000</v>
          </cell>
          <cell r="L9">
            <v>0.7</v>
          </cell>
          <cell r="M9" t="str">
            <v>EVET</v>
          </cell>
          <cell r="N9" t="str">
            <v>BİLTEPE</v>
          </cell>
          <cell r="P9">
            <v>322</v>
          </cell>
        </row>
        <row r="10">
          <cell r="C10" t="str">
            <v>ÖZEL 4</v>
          </cell>
          <cell r="D10" t="str">
            <v>DRENFLEX</v>
          </cell>
          <cell r="E10" t="str">
            <v>EGEPLAST</v>
          </cell>
          <cell r="F10">
            <v>34659</v>
          </cell>
          <cell r="G10" t="str">
            <v>DSH-238/1</v>
          </cell>
          <cell r="I10" t="str">
            <v>HAYIR</v>
          </cell>
          <cell r="J10" t="str">
            <v>mt</v>
          </cell>
          <cell r="K10">
            <v>116780</v>
          </cell>
          <cell r="L10">
            <v>0.7</v>
          </cell>
          <cell r="M10" t="str">
            <v>EVET</v>
          </cell>
          <cell r="N10" t="str">
            <v>EGEPLAST</v>
          </cell>
          <cell r="P10">
            <v>133</v>
          </cell>
        </row>
        <row r="11">
          <cell r="C11" t="str">
            <v>ÖZEL 5</v>
          </cell>
          <cell r="D11" t="str">
            <v>KAPİLER ESASLI SU YALITIMI</v>
          </cell>
          <cell r="E11" t="str">
            <v>KAPİLERİN</v>
          </cell>
          <cell r="F11">
            <v>34683</v>
          </cell>
          <cell r="G11" t="str">
            <v>DSH-312</v>
          </cell>
          <cell r="I11" t="str">
            <v>HAYIR</v>
          </cell>
          <cell r="J11" t="str">
            <v>kg</v>
          </cell>
          <cell r="K11">
            <v>150000</v>
          </cell>
          <cell r="L11">
            <v>0.7</v>
          </cell>
          <cell r="M11" t="str">
            <v>EVET</v>
          </cell>
          <cell r="N11" t="str">
            <v>KAPİLERİN</v>
          </cell>
          <cell r="P11">
            <v>133</v>
          </cell>
        </row>
        <row r="12">
          <cell r="C12" t="str">
            <v>ÖZEL 6/1</v>
          </cell>
          <cell r="D12" t="str">
            <v>MUTFAK DOLABI</v>
          </cell>
          <cell r="E12" t="str">
            <v>MOPAŞ</v>
          </cell>
          <cell r="F12">
            <v>34632</v>
          </cell>
          <cell r="G12" t="str">
            <v>DSH-112</v>
          </cell>
          <cell r="I12" t="str">
            <v>VAR</v>
          </cell>
          <cell r="J12" t="str">
            <v>m²</v>
          </cell>
          <cell r="K12">
            <v>5380000</v>
          </cell>
          <cell r="L12">
            <v>0.7</v>
          </cell>
          <cell r="M12" t="str">
            <v>EVET</v>
          </cell>
          <cell r="N12" t="str">
            <v>MOPAŞ</v>
          </cell>
          <cell r="P12">
            <v>1201</v>
          </cell>
        </row>
        <row r="13">
          <cell r="C13" t="str">
            <v>ÖZEL 6/2</v>
          </cell>
          <cell r="D13" t="str">
            <v>MUTFAK TEZGAHI</v>
          </cell>
          <cell r="E13" t="str">
            <v>MOPAŞ</v>
          </cell>
          <cell r="F13">
            <v>34632</v>
          </cell>
          <cell r="G13" t="str">
            <v>DSH-112</v>
          </cell>
          <cell r="I13" t="str">
            <v>VAR</v>
          </cell>
          <cell r="J13" t="str">
            <v>m²</v>
          </cell>
          <cell r="K13">
            <v>2250000</v>
          </cell>
          <cell r="L13">
            <v>0.7</v>
          </cell>
          <cell r="M13" t="str">
            <v>EVET</v>
          </cell>
          <cell r="N13" t="str">
            <v>MOPAŞ</v>
          </cell>
          <cell r="P13">
            <v>1201</v>
          </cell>
        </row>
        <row r="14">
          <cell r="C14" t="str">
            <v>ÖZEL 7</v>
          </cell>
          <cell r="D14" t="str">
            <v>TÜNELKALIP</v>
          </cell>
          <cell r="E14" t="str">
            <v>RANT</v>
          </cell>
          <cell r="F14">
            <v>34659</v>
          </cell>
          <cell r="G14" t="str">
            <v>DSH-238/2</v>
          </cell>
          <cell r="H14">
            <v>123</v>
          </cell>
          <cell r="I14" t="str">
            <v>HAYIR</v>
          </cell>
          <cell r="J14" t="str">
            <v>m²</v>
          </cell>
          <cell r="K14">
            <v>8500000</v>
          </cell>
          <cell r="L14">
            <v>0.7</v>
          </cell>
          <cell r="M14" t="str">
            <v>EVET</v>
          </cell>
          <cell r="N14" t="str">
            <v>RANT</v>
          </cell>
          <cell r="P14">
            <v>200</v>
          </cell>
        </row>
        <row r="15">
          <cell r="C15" t="str">
            <v>ÖZEL 8/1</v>
          </cell>
          <cell r="D15" t="str">
            <v>İNTERKOM SANTRALİ</v>
          </cell>
          <cell r="E15" t="str">
            <v>DİZAYN</v>
          </cell>
          <cell r="F15">
            <v>34655</v>
          </cell>
          <cell r="G15" t="str">
            <v>DSH-228</v>
          </cell>
          <cell r="I15" t="str">
            <v>HAYIR</v>
          </cell>
          <cell r="J15" t="str">
            <v>ad</v>
          </cell>
          <cell r="K15">
            <v>3450000</v>
          </cell>
          <cell r="L15">
            <v>0.7</v>
          </cell>
          <cell r="M15" t="str">
            <v>EVET</v>
          </cell>
          <cell r="N15" t="str">
            <v>DİZAYN</v>
          </cell>
          <cell r="P15">
            <v>1421</v>
          </cell>
        </row>
        <row r="16">
          <cell r="C16" t="str">
            <v>ÖZEL 8/10</v>
          </cell>
          <cell r="D16" t="str">
            <v>KASET KIZAĞI</v>
          </cell>
          <cell r="E16" t="str">
            <v>TAMGÖR</v>
          </cell>
          <cell r="F16">
            <v>34655</v>
          </cell>
          <cell r="G16" t="str">
            <v>DSH-228</v>
          </cell>
          <cell r="I16" t="str">
            <v>HAYIR</v>
          </cell>
          <cell r="J16" t="str">
            <v>ad</v>
          </cell>
          <cell r="K16">
            <v>195000</v>
          </cell>
          <cell r="L16">
            <v>0.7</v>
          </cell>
          <cell r="M16" t="str">
            <v>EVET</v>
          </cell>
          <cell r="N16" t="str">
            <v>TAMGÖR</v>
          </cell>
          <cell r="P16">
            <v>1621</v>
          </cell>
        </row>
        <row r="17">
          <cell r="C17" t="str">
            <v>ÖZEL 8/11</v>
          </cell>
          <cell r="D17" t="str">
            <v>1/2 TV BUATI</v>
          </cell>
          <cell r="E17" t="str">
            <v>TAMGÖR</v>
          </cell>
          <cell r="F17">
            <v>34655</v>
          </cell>
          <cell r="G17" t="str">
            <v>DSH-228</v>
          </cell>
          <cell r="I17" t="str">
            <v>HAYIR</v>
          </cell>
          <cell r="J17" t="str">
            <v>ad</v>
          </cell>
          <cell r="K17">
            <v>140000</v>
          </cell>
          <cell r="L17">
            <v>0.7</v>
          </cell>
          <cell r="M17" t="str">
            <v>EVET</v>
          </cell>
          <cell r="N17" t="str">
            <v>TAMGÖR</v>
          </cell>
          <cell r="P17">
            <v>1621</v>
          </cell>
        </row>
        <row r="18">
          <cell r="C18" t="str">
            <v>ÖZEL 8/12</v>
          </cell>
          <cell r="D18" t="str">
            <v>1/3 TV BUATI</v>
          </cell>
          <cell r="E18" t="str">
            <v>TAMGÖR</v>
          </cell>
          <cell r="F18">
            <v>34655</v>
          </cell>
          <cell r="G18" t="str">
            <v>DSH-228</v>
          </cell>
          <cell r="I18" t="str">
            <v>HAYIR</v>
          </cell>
          <cell r="J18" t="str">
            <v>ad</v>
          </cell>
          <cell r="K18">
            <v>160000</v>
          </cell>
          <cell r="L18">
            <v>0.7</v>
          </cell>
          <cell r="M18" t="str">
            <v>EVET</v>
          </cell>
          <cell r="N18" t="str">
            <v>TAMGÖR</v>
          </cell>
          <cell r="P18">
            <v>1621</v>
          </cell>
        </row>
        <row r="19">
          <cell r="C19" t="str">
            <v>ÖZEL 8/13</v>
          </cell>
          <cell r="D19" t="str">
            <v>1/8 TV BUATI</v>
          </cell>
          <cell r="E19" t="str">
            <v>TAMGÖR</v>
          </cell>
          <cell r="F19">
            <v>34655</v>
          </cell>
          <cell r="G19" t="str">
            <v>DSH-228</v>
          </cell>
          <cell r="I19" t="str">
            <v>HAYIR</v>
          </cell>
          <cell r="J19" t="str">
            <v>ad</v>
          </cell>
          <cell r="K19">
            <v>225000</v>
          </cell>
          <cell r="L19">
            <v>0.7</v>
          </cell>
          <cell r="M19" t="str">
            <v>EVET</v>
          </cell>
          <cell r="N19" t="str">
            <v>TAMGÖR</v>
          </cell>
          <cell r="P19">
            <v>1621</v>
          </cell>
        </row>
        <row r="20">
          <cell r="C20" t="str">
            <v>ÖZEL 8/14</v>
          </cell>
          <cell r="D20" t="str">
            <v>TV UHF KASET</v>
          </cell>
          <cell r="E20" t="str">
            <v>TAMGÖR</v>
          </cell>
          <cell r="F20">
            <v>34655</v>
          </cell>
          <cell r="G20" t="str">
            <v>DSH-228</v>
          </cell>
          <cell r="I20" t="str">
            <v>HAYIR</v>
          </cell>
          <cell r="J20" t="str">
            <v>ad</v>
          </cell>
          <cell r="K20">
            <v>650000</v>
          </cell>
          <cell r="L20">
            <v>0.7</v>
          </cell>
          <cell r="M20" t="str">
            <v>EVET</v>
          </cell>
          <cell r="N20" t="str">
            <v>TAMGÖR</v>
          </cell>
          <cell r="P20">
            <v>1621</v>
          </cell>
        </row>
        <row r="21">
          <cell r="C21" t="str">
            <v>ÖZEL 8/15</v>
          </cell>
          <cell r="D21" t="str">
            <v>TV VHF KASET</v>
          </cell>
          <cell r="E21" t="str">
            <v>TAMGÖR</v>
          </cell>
          <cell r="F21">
            <v>34655</v>
          </cell>
          <cell r="G21" t="str">
            <v>DSH-228</v>
          </cell>
          <cell r="I21" t="str">
            <v>HAYIR</v>
          </cell>
          <cell r="J21" t="str">
            <v>ad</v>
          </cell>
          <cell r="K21">
            <v>650000</v>
          </cell>
          <cell r="L21">
            <v>0.7</v>
          </cell>
          <cell r="M21" t="str">
            <v>EVET</v>
          </cell>
          <cell r="N21" t="str">
            <v>TAMGÖR</v>
          </cell>
          <cell r="P21">
            <v>1621</v>
          </cell>
        </row>
        <row r="22">
          <cell r="C22" t="str">
            <v>ÖZEL 8/2</v>
          </cell>
          <cell r="D22" t="str">
            <v>İNTERKOM DAİRE ÜNİTESİ</v>
          </cell>
          <cell r="E22" t="str">
            <v>DİZAYN</v>
          </cell>
          <cell r="F22">
            <v>34655</v>
          </cell>
          <cell r="G22" t="str">
            <v>DSH-228</v>
          </cell>
          <cell r="I22" t="str">
            <v>HAYIR</v>
          </cell>
          <cell r="J22" t="str">
            <v>ad</v>
          </cell>
          <cell r="K22">
            <v>850000</v>
          </cell>
          <cell r="L22">
            <v>0.7</v>
          </cell>
          <cell r="M22" t="str">
            <v>EVET</v>
          </cell>
          <cell r="N22" t="str">
            <v>DİZAYN</v>
          </cell>
          <cell r="P22">
            <v>1421</v>
          </cell>
        </row>
        <row r="23">
          <cell r="C23" t="str">
            <v>ÖZEL 8/3</v>
          </cell>
          <cell r="D23" t="str">
            <v>İNTERKOM ZİL PANELİ</v>
          </cell>
          <cell r="E23" t="str">
            <v>DİZAYN</v>
          </cell>
          <cell r="F23">
            <v>34655</v>
          </cell>
          <cell r="G23" t="str">
            <v>DSH-228</v>
          </cell>
          <cell r="I23" t="str">
            <v>HAYIR</v>
          </cell>
          <cell r="J23" t="str">
            <v>ad</v>
          </cell>
          <cell r="K23">
            <v>1650000</v>
          </cell>
          <cell r="L23">
            <v>0.7</v>
          </cell>
          <cell r="M23" t="str">
            <v>EVET</v>
          </cell>
          <cell r="N23" t="str">
            <v>DİZAYN</v>
          </cell>
          <cell r="P23">
            <v>1421</v>
          </cell>
        </row>
        <row r="24">
          <cell r="C24" t="str">
            <v>ÖZEL 8/4</v>
          </cell>
          <cell r="D24" t="str">
            <v>İNTERKOM KABLOSU</v>
          </cell>
          <cell r="E24" t="str">
            <v>BİRTAŞ</v>
          </cell>
          <cell r="F24">
            <v>34655</v>
          </cell>
          <cell r="G24" t="str">
            <v>DSH-228</v>
          </cell>
          <cell r="I24" t="str">
            <v>HAYIR</v>
          </cell>
          <cell r="J24" t="str">
            <v>mt</v>
          </cell>
          <cell r="K24">
            <v>16500</v>
          </cell>
          <cell r="L24">
            <v>0.7</v>
          </cell>
          <cell r="M24" t="str">
            <v>EVET</v>
          </cell>
          <cell r="N24" t="str">
            <v>BİRTAŞ</v>
          </cell>
          <cell r="P24">
            <v>1411</v>
          </cell>
        </row>
        <row r="25">
          <cell r="C25" t="str">
            <v>ÖZEL 8/5</v>
          </cell>
          <cell r="D25" t="str">
            <v>KAÇAK AKIM RÖLESİ</v>
          </cell>
          <cell r="E25" t="str">
            <v>MERLİN GERİN</v>
          </cell>
          <cell r="F25">
            <v>34655</v>
          </cell>
          <cell r="G25" t="str">
            <v>DSH-228</v>
          </cell>
          <cell r="I25" t="str">
            <v>HAYIR</v>
          </cell>
          <cell r="J25" t="str">
            <v>ad</v>
          </cell>
          <cell r="K25">
            <v>2493000</v>
          </cell>
          <cell r="L25">
            <v>0.7</v>
          </cell>
          <cell r="M25" t="str">
            <v>EVET</v>
          </cell>
          <cell r="N25" t="str">
            <v>MERLİN GERİN</v>
          </cell>
          <cell r="P25">
            <v>1131</v>
          </cell>
        </row>
        <row r="26">
          <cell r="C26" t="str">
            <v>ÖZEL 8/6</v>
          </cell>
          <cell r="D26" t="str">
            <v>TV KABLOSU</v>
          </cell>
          <cell r="E26" t="str">
            <v>KLAS</v>
          </cell>
          <cell r="F26">
            <v>34655</v>
          </cell>
          <cell r="G26" t="str">
            <v>DSH-228</v>
          </cell>
          <cell r="I26" t="str">
            <v>HAYIR</v>
          </cell>
          <cell r="J26" t="str">
            <v>mt</v>
          </cell>
          <cell r="K26">
            <v>15500</v>
          </cell>
          <cell r="L26">
            <v>0.7</v>
          </cell>
          <cell r="M26" t="str">
            <v>EVET</v>
          </cell>
          <cell r="N26" t="str">
            <v>KLAS</v>
          </cell>
          <cell r="P26">
            <v>1611</v>
          </cell>
        </row>
        <row r="27">
          <cell r="C27" t="str">
            <v>ÖZEL 8/7</v>
          </cell>
          <cell r="D27" t="str">
            <v>TV YAYIN BESLEME ÜNİTESİ</v>
          </cell>
          <cell r="E27" t="str">
            <v>TAMGÖR</v>
          </cell>
          <cell r="F27">
            <v>34655</v>
          </cell>
          <cell r="G27" t="str">
            <v>DSH-228</v>
          </cell>
          <cell r="I27" t="str">
            <v>HAYIR</v>
          </cell>
          <cell r="J27" t="str">
            <v>ad</v>
          </cell>
          <cell r="K27">
            <v>825000</v>
          </cell>
          <cell r="L27">
            <v>0.7</v>
          </cell>
          <cell r="M27" t="str">
            <v>EVET</v>
          </cell>
          <cell r="N27" t="str">
            <v>TAMGÖR</v>
          </cell>
          <cell r="P27">
            <v>1621</v>
          </cell>
        </row>
        <row r="28">
          <cell r="C28" t="str">
            <v>ÖZEL 8/8</v>
          </cell>
          <cell r="D28" t="str">
            <v>TV YAYIN BOOSTER`I</v>
          </cell>
          <cell r="E28" t="str">
            <v>TAMGÖR</v>
          </cell>
          <cell r="F28">
            <v>34655</v>
          </cell>
          <cell r="G28" t="str">
            <v>DSH-228</v>
          </cell>
          <cell r="I28" t="str">
            <v>HAYIR</v>
          </cell>
          <cell r="J28" t="str">
            <v>ad</v>
          </cell>
          <cell r="K28">
            <v>800000</v>
          </cell>
          <cell r="L28">
            <v>0.7</v>
          </cell>
          <cell r="M28" t="str">
            <v>EVET</v>
          </cell>
          <cell r="N28" t="str">
            <v>TAMGÖR</v>
          </cell>
          <cell r="P28">
            <v>1621</v>
          </cell>
        </row>
        <row r="29">
          <cell r="C29" t="str">
            <v>ÖZEL 8/9</v>
          </cell>
          <cell r="D29" t="str">
            <v>TV JAKI</v>
          </cell>
          <cell r="E29" t="str">
            <v>TAMGÖR</v>
          </cell>
          <cell r="F29">
            <v>34655</v>
          </cell>
          <cell r="G29" t="str">
            <v>DSH-228</v>
          </cell>
          <cell r="I29" t="str">
            <v>HAYIR</v>
          </cell>
          <cell r="J29" t="str">
            <v>ad</v>
          </cell>
          <cell r="K29">
            <v>12500</v>
          </cell>
          <cell r="L29">
            <v>0.7</v>
          </cell>
          <cell r="M29" t="str">
            <v>EVET</v>
          </cell>
          <cell r="N29" t="str">
            <v>TAMGÖR</v>
          </cell>
          <cell r="P29">
            <v>1621</v>
          </cell>
        </row>
        <row r="30">
          <cell r="C30" t="str">
            <v>ÖZEL 9</v>
          </cell>
          <cell r="D30" t="str">
            <v>BANYO + WC HAV. MENFEZİ</v>
          </cell>
          <cell r="E30" t="str">
            <v>ASSAN-ERTES</v>
          </cell>
          <cell r="F30">
            <v>34764</v>
          </cell>
          <cell r="G30" t="str">
            <v>DSH-208/95</v>
          </cell>
          <cell r="I30" t="str">
            <v>HAYIR</v>
          </cell>
          <cell r="J30" t="str">
            <v>ad</v>
          </cell>
          <cell r="K30">
            <v>1000000</v>
          </cell>
          <cell r="L30">
            <v>0.7</v>
          </cell>
          <cell r="M30" t="str">
            <v>EVET</v>
          </cell>
          <cell r="N30" t="str">
            <v>ASSAN-ERTES</v>
          </cell>
          <cell r="P30">
            <v>1053</v>
          </cell>
        </row>
        <row r="31">
          <cell r="C31" t="str">
            <v>04.003/C</v>
          </cell>
          <cell r="D31" t="str">
            <v>ÇAKIL</v>
          </cell>
          <cell r="E31" t="str">
            <v>DİYARBAKIR</v>
          </cell>
          <cell r="F31">
            <v>34700</v>
          </cell>
          <cell r="G31" t="str">
            <v>DSH-02</v>
          </cell>
          <cell r="I31" t="str">
            <v>HAYIR</v>
          </cell>
          <cell r="J31" t="str">
            <v>m³</v>
          </cell>
          <cell r="K31">
            <v>99613</v>
          </cell>
          <cell r="L31">
            <v>1</v>
          </cell>
          <cell r="P31">
            <v>200</v>
          </cell>
        </row>
        <row r="32">
          <cell r="C32" t="str">
            <v>04.006/C</v>
          </cell>
          <cell r="D32" t="str">
            <v>KUM</v>
          </cell>
          <cell r="E32" t="str">
            <v>DİYARBAKIR</v>
          </cell>
          <cell r="F32">
            <v>34700</v>
          </cell>
          <cell r="G32" t="str">
            <v>DSH-02</v>
          </cell>
          <cell r="I32" t="str">
            <v>HAYIR</v>
          </cell>
          <cell r="J32" t="str">
            <v>m³</v>
          </cell>
          <cell r="K32">
            <v>86506</v>
          </cell>
          <cell r="L32">
            <v>1</v>
          </cell>
          <cell r="P32">
            <v>200</v>
          </cell>
        </row>
        <row r="33">
          <cell r="C33" t="str">
            <v>04.018/B</v>
          </cell>
          <cell r="D33" t="str">
            <v>TUĞLA  (8,5 luk)</v>
          </cell>
          <cell r="E33" t="str">
            <v>DİYARBAKIR</v>
          </cell>
          <cell r="F33">
            <v>34659</v>
          </cell>
          <cell r="G33" t="str">
            <v>DSH-238/2</v>
          </cell>
          <cell r="I33" t="str">
            <v>HAYIR</v>
          </cell>
          <cell r="J33" t="str">
            <v>ad</v>
          </cell>
          <cell r="K33">
            <v>875</v>
          </cell>
          <cell r="L33">
            <v>1</v>
          </cell>
          <cell r="M33" t="str">
            <v>EVET</v>
          </cell>
          <cell r="N33" t="str">
            <v>DİYARBAKIR</v>
          </cell>
          <cell r="P33">
            <v>311</v>
          </cell>
        </row>
        <row r="34">
          <cell r="C34" t="str">
            <v>04.018/C</v>
          </cell>
          <cell r="D34" t="str">
            <v>TUĞLA  (13.5 luk)</v>
          </cell>
          <cell r="E34" t="str">
            <v>DİYARBAKIR</v>
          </cell>
          <cell r="F34">
            <v>34659</v>
          </cell>
          <cell r="G34" t="str">
            <v>DSH-238/2</v>
          </cell>
          <cell r="I34" t="str">
            <v>HAYIR</v>
          </cell>
          <cell r="J34" t="str">
            <v>ad</v>
          </cell>
          <cell r="K34">
            <v>1040</v>
          </cell>
          <cell r="L34">
            <v>1</v>
          </cell>
          <cell r="M34" t="str">
            <v>EVET</v>
          </cell>
          <cell r="N34" t="str">
            <v>DİYARBAKIR</v>
          </cell>
          <cell r="P34">
            <v>311</v>
          </cell>
        </row>
        <row r="35">
          <cell r="C35" t="str">
            <v>04.026</v>
          </cell>
          <cell r="D35" t="str">
            <v>KİREMİT (oluklu)</v>
          </cell>
          <cell r="E35" t="str">
            <v>HAZAR</v>
          </cell>
          <cell r="F35">
            <v>34659</v>
          </cell>
          <cell r="G35" t="str">
            <v>DSH-238/2</v>
          </cell>
          <cell r="I35" t="str">
            <v>HAYIR</v>
          </cell>
          <cell r="J35" t="str">
            <v>ad</v>
          </cell>
          <cell r="K35">
            <v>2450</v>
          </cell>
          <cell r="L35">
            <v>1</v>
          </cell>
          <cell r="M35" t="str">
            <v>EVET</v>
          </cell>
          <cell r="N35" t="str">
            <v>HAZAR</v>
          </cell>
          <cell r="P35">
            <v>401</v>
          </cell>
        </row>
        <row r="36">
          <cell r="C36" t="str">
            <v>04.028</v>
          </cell>
          <cell r="D36" t="str">
            <v>KİREMİT (mahya)</v>
          </cell>
          <cell r="E36" t="str">
            <v>HAZAR</v>
          </cell>
          <cell r="F36">
            <v>34659</v>
          </cell>
          <cell r="G36" t="str">
            <v>DSH-238/2</v>
          </cell>
          <cell r="I36" t="str">
            <v>HAYIR</v>
          </cell>
          <cell r="J36" t="str">
            <v>ad</v>
          </cell>
          <cell r="K36">
            <v>2590</v>
          </cell>
          <cell r="L36">
            <v>1</v>
          </cell>
          <cell r="M36" t="str">
            <v>EVET</v>
          </cell>
          <cell r="N36" t="str">
            <v>HAZAR</v>
          </cell>
          <cell r="P36">
            <v>401</v>
          </cell>
        </row>
        <row r="37">
          <cell r="C37" t="str">
            <v>04.254</v>
          </cell>
          <cell r="D37" t="str">
            <v>NERVÜRLÜ İNŞ.DEMİRİ</v>
          </cell>
          <cell r="E37" t="str">
            <v>İSKENDERUN</v>
          </cell>
          <cell r="F37">
            <v>34700</v>
          </cell>
          <cell r="G37" t="str">
            <v>DSH-02</v>
          </cell>
          <cell r="I37" t="str">
            <v>HAYIR</v>
          </cell>
          <cell r="J37" t="str">
            <v>kg</v>
          </cell>
          <cell r="K37">
            <v>4186</v>
          </cell>
          <cell r="L37">
            <v>1</v>
          </cell>
        </row>
        <row r="38">
          <cell r="C38" t="str">
            <v>04.263</v>
          </cell>
          <cell r="D38" t="str">
            <v>ÇİNKO</v>
          </cell>
          <cell r="E38" t="str">
            <v>EKMEKÇİOĞULLARI</v>
          </cell>
          <cell r="F38">
            <v>34659</v>
          </cell>
          <cell r="G38" t="str">
            <v>DSH-238/1</v>
          </cell>
          <cell r="I38" t="str">
            <v>HAYIR</v>
          </cell>
          <cell r="J38" t="str">
            <v>kg</v>
          </cell>
          <cell r="K38">
            <v>25750</v>
          </cell>
          <cell r="L38">
            <v>1</v>
          </cell>
          <cell r="M38" t="str">
            <v>EVET</v>
          </cell>
          <cell r="N38" t="str">
            <v>EKMEKÇİOĞULLARI</v>
          </cell>
          <cell r="P38">
            <v>401</v>
          </cell>
        </row>
        <row r="39">
          <cell r="C39" t="str">
            <v>04.291/8</v>
          </cell>
          <cell r="D39" t="str">
            <v>BORU</v>
          </cell>
          <cell r="E39" t="str">
            <v>MANNESMAN</v>
          </cell>
          <cell r="F39">
            <v>34633</v>
          </cell>
          <cell r="G39" t="str">
            <v>DSH-114</v>
          </cell>
          <cell r="I39" t="str">
            <v>HAYIR</v>
          </cell>
          <cell r="J39" t="str">
            <v>kg</v>
          </cell>
          <cell r="K39">
            <v>6800</v>
          </cell>
          <cell r="L39">
            <v>1</v>
          </cell>
          <cell r="M39" t="str">
            <v>EVET</v>
          </cell>
          <cell r="N39" t="str">
            <v>MANNESMAN</v>
          </cell>
          <cell r="P39">
            <v>801</v>
          </cell>
        </row>
        <row r="40">
          <cell r="C40" t="str">
            <v>04.292/1</v>
          </cell>
          <cell r="D40" t="str">
            <v>KUTU PROFİL</v>
          </cell>
          <cell r="E40" t="str">
            <v>MANNESMAN</v>
          </cell>
          <cell r="F40">
            <v>34633</v>
          </cell>
          <cell r="G40" t="str">
            <v>DSH-114</v>
          </cell>
          <cell r="I40" t="str">
            <v>HAYIR</v>
          </cell>
          <cell r="J40" t="str">
            <v>kg.</v>
          </cell>
          <cell r="K40">
            <v>3380</v>
          </cell>
          <cell r="L40">
            <v>1</v>
          </cell>
          <cell r="M40" t="str">
            <v>EVET</v>
          </cell>
          <cell r="N40" t="str">
            <v>MANNESMAN</v>
          </cell>
          <cell r="P40">
            <v>511</v>
          </cell>
        </row>
        <row r="41">
          <cell r="C41" t="str">
            <v>04.292/10</v>
          </cell>
          <cell r="D41" t="str">
            <v>KUTU PROFİL</v>
          </cell>
          <cell r="E41" t="str">
            <v>MANNESMAN</v>
          </cell>
          <cell r="F41">
            <v>34633</v>
          </cell>
          <cell r="G41" t="str">
            <v>DSH-114</v>
          </cell>
          <cell r="I41" t="str">
            <v>HAYIR</v>
          </cell>
          <cell r="J41" t="str">
            <v>kg.</v>
          </cell>
          <cell r="K41">
            <v>19740</v>
          </cell>
          <cell r="L41">
            <v>1</v>
          </cell>
          <cell r="M41" t="str">
            <v>EVET</v>
          </cell>
          <cell r="N41" t="str">
            <v>MANNESMAN</v>
          </cell>
          <cell r="P41">
            <v>511</v>
          </cell>
        </row>
        <row r="42">
          <cell r="C42" t="str">
            <v>04.292/15</v>
          </cell>
          <cell r="D42" t="str">
            <v>KUTU PROFİL</v>
          </cell>
          <cell r="E42" t="str">
            <v>MANNESMAN</v>
          </cell>
          <cell r="F42">
            <v>34633</v>
          </cell>
          <cell r="G42" t="str">
            <v>DSH-114</v>
          </cell>
          <cell r="I42" t="str">
            <v>HAYIR</v>
          </cell>
          <cell r="J42" t="str">
            <v>mt</v>
          </cell>
          <cell r="K42">
            <v>7469</v>
          </cell>
          <cell r="L42">
            <v>1</v>
          </cell>
          <cell r="M42" t="str">
            <v>EVET</v>
          </cell>
          <cell r="N42" t="str">
            <v>MANNESMAN</v>
          </cell>
          <cell r="P42">
            <v>511</v>
          </cell>
        </row>
        <row r="43">
          <cell r="C43" t="str">
            <v>04.292/15</v>
          </cell>
          <cell r="D43" t="str">
            <v>KUTU PROFİL</v>
          </cell>
          <cell r="E43" t="str">
            <v>MANNESMAN</v>
          </cell>
          <cell r="F43">
            <v>34633</v>
          </cell>
          <cell r="G43" t="str">
            <v>DSH-114</v>
          </cell>
          <cell r="I43" t="str">
            <v>HAYIR</v>
          </cell>
          <cell r="J43" t="str">
            <v>kg.</v>
          </cell>
          <cell r="K43">
            <v>7469</v>
          </cell>
          <cell r="L43">
            <v>1</v>
          </cell>
          <cell r="M43" t="str">
            <v>EVET</v>
          </cell>
          <cell r="N43" t="str">
            <v>MANNESMAN</v>
          </cell>
          <cell r="P43">
            <v>511</v>
          </cell>
        </row>
        <row r="44">
          <cell r="C44" t="str">
            <v>04.292/2</v>
          </cell>
          <cell r="D44" t="str">
            <v>KUTU PROFİL</v>
          </cell>
          <cell r="E44" t="str">
            <v>MANNESMAN</v>
          </cell>
          <cell r="F44">
            <v>34633</v>
          </cell>
          <cell r="G44" t="str">
            <v>DSH-114</v>
          </cell>
          <cell r="I44" t="str">
            <v>HAYIR</v>
          </cell>
          <cell r="J44" t="str">
            <v>kg.</v>
          </cell>
          <cell r="K44">
            <v>4785</v>
          </cell>
          <cell r="L44">
            <v>1</v>
          </cell>
          <cell r="M44" t="str">
            <v>EVET</v>
          </cell>
          <cell r="N44" t="str">
            <v>MANNESMAN</v>
          </cell>
          <cell r="P44">
            <v>511</v>
          </cell>
        </row>
        <row r="45">
          <cell r="C45" t="str">
            <v>04.292/21</v>
          </cell>
          <cell r="D45" t="str">
            <v>KUTU PROFİL</v>
          </cell>
          <cell r="E45" t="str">
            <v>MANNESMAN</v>
          </cell>
          <cell r="F45">
            <v>34633</v>
          </cell>
          <cell r="G45" t="str">
            <v>DSH-114</v>
          </cell>
          <cell r="I45" t="str">
            <v>HAYIR</v>
          </cell>
          <cell r="J45" t="str">
            <v>kg.</v>
          </cell>
          <cell r="K45">
            <v>24673</v>
          </cell>
          <cell r="L45">
            <v>1</v>
          </cell>
          <cell r="M45" t="str">
            <v>EVET</v>
          </cell>
          <cell r="N45" t="str">
            <v>MANNESMAN</v>
          </cell>
          <cell r="P45">
            <v>511</v>
          </cell>
        </row>
        <row r="46">
          <cell r="C46" t="str">
            <v>04.305/2</v>
          </cell>
          <cell r="D46" t="str">
            <v>HASIR ÇELİK</v>
          </cell>
          <cell r="E46" t="str">
            <v>GÜNEY</v>
          </cell>
          <cell r="F46">
            <v>34632</v>
          </cell>
          <cell r="G46" t="str">
            <v>DSH-112</v>
          </cell>
          <cell r="I46" t="str">
            <v>VAR</v>
          </cell>
          <cell r="J46" t="str">
            <v>kg</v>
          </cell>
          <cell r="K46">
            <v>6350</v>
          </cell>
          <cell r="L46">
            <v>1</v>
          </cell>
          <cell r="M46" t="str">
            <v>EVET</v>
          </cell>
          <cell r="N46" t="str">
            <v>GÜNEY</v>
          </cell>
        </row>
        <row r="47">
          <cell r="C47" t="str">
            <v>04.305/2.</v>
          </cell>
          <cell r="D47" t="str">
            <v>HASIR ÇELİK</v>
          </cell>
          <cell r="E47" t="str">
            <v>GÜNEY</v>
          </cell>
          <cell r="F47">
            <v>34632</v>
          </cell>
          <cell r="G47" t="str">
            <v>DSH-112</v>
          </cell>
          <cell r="I47" t="str">
            <v>HAYIR</v>
          </cell>
          <cell r="J47" t="str">
            <v>kg</v>
          </cell>
          <cell r="K47">
            <v>6350</v>
          </cell>
          <cell r="L47">
            <v>1</v>
          </cell>
          <cell r="M47" t="str">
            <v>EVET</v>
          </cell>
          <cell r="N47" t="str">
            <v>GÜNEY</v>
          </cell>
        </row>
        <row r="48">
          <cell r="C48" t="str">
            <v>04.407</v>
          </cell>
          <cell r="D48" t="str">
            <v>FAYANS</v>
          </cell>
          <cell r="E48" t="str">
            <v>ÇANAKKALE</v>
          </cell>
          <cell r="F48">
            <v>34659</v>
          </cell>
          <cell r="G48" t="str">
            <v>DSH-238/1</v>
          </cell>
          <cell r="I48" t="str">
            <v>HAYIR</v>
          </cell>
          <cell r="J48" t="str">
            <v>ad.</v>
          </cell>
          <cell r="K48">
            <v>2500</v>
          </cell>
          <cell r="L48">
            <v>1</v>
          </cell>
          <cell r="M48" t="str">
            <v>EVET</v>
          </cell>
          <cell r="N48" t="str">
            <v>ÇANAKKALE</v>
          </cell>
          <cell r="P48">
            <v>901</v>
          </cell>
        </row>
        <row r="49">
          <cell r="C49" t="str">
            <v>04.408/B</v>
          </cell>
          <cell r="D49" t="str">
            <v>SERAMİK</v>
          </cell>
          <cell r="E49" t="str">
            <v>EGE,KALEBODUR</v>
          </cell>
          <cell r="F49">
            <v>34659</v>
          </cell>
          <cell r="G49" t="str">
            <v>DSH-238/1</v>
          </cell>
          <cell r="I49" t="str">
            <v>HAYIR</v>
          </cell>
          <cell r="J49" t="str">
            <v>m²</v>
          </cell>
          <cell r="K49">
            <v>120000</v>
          </cell>
          <cell r="L49">
            <v>1</v>
          </cell>
          <cell r="M49" t="str">
            <v>EVET</v>
          </cell>
          <cell r="N49" t="str">
            <v>EGE,KALEBODUR</v>
          </cell>
          <cell r="P49">
            <v>702</v>
          </cell>
        </row>
        <row r="50">
          <cell r="C50" t="str">
            <v>04.452</v>
          </cell>
          <cell r="D50" t="str">
            <v>ÇATI KERESTESİ</v>
          </cell>
          <cell r="E50" t="str">
            <v>DİYARBAKIR</v>
          </cell>
          <cell r="F50">
            <v>34700</v>
          </cell>
          <cell r="G50" t="str">
            <v>DSH-02</v>
          </cell>
          <cell r="I50" t="str">
            <v>HAYIR</v>
          </cell>
          <cell r="J50" t="str">
            <v>m³</v>
          </cell>
          <cell r="K50">
            <v>4150000</v>
          </cell>
          <cell r="L50">
            <v>1</v>
          </cell>
          <cell r="P50">
            <v>401</v>
          </cell>
        </row>
        <row r="51">
          <cell r="C51" t="str">
            <v>04.522 G</v>
          </cell>
          <cell r="D51" t="str">
            <v>AKRİLİK MACUN</v>
          </cell>
          <cell r="E51" t="str">
            <v>HALİMOĞLU</v>
          </cell>
          <cell r="F51">
            <v>34688</v>
          </cell>
          <cell r="G51" t="str">
            <v>DSH-349</v>
          </cell>
          <cell r="I51" t="str">
            <v>VAR</v>
          </cell>
          <cell r="J51" t="str">
            <v>kg</v>
          </cell>
          <cell r="K51">
            <v>13500</v>
          </cell>
          <cell r="L51">
            <v>1</v>
          </cell>
          <cell r="M51" t="str">
            <v>EVET</v>
          </cell>
          <cell r="N51" t="str">
            <v>HALİMOĞLU</v>
          </cell>
          <cell r="P51">
            <v>1712</v>
          </cell>
        </row>
        <row r="52">
          <cell r="C52" t="str">
            <v>04.522 G.</v>
          </cell>
          <cell r="D52" t="str">
            <v>AKRİLİK MACUN</v>
          </cell>
          <cell r="E52" t="str">
            <v>AKIN-AK</v>
          </cell>
          <cell r="F52">
            <v>34775</v>
          </cell>
          <cell r="G52" t="str">
            <v>DSH-240/95</v>
          </cell>
          <cell r="I52" t="str">
            <v>VAR</v>
          </cell>
          <cell r="J52" t="str">
            <v>kg</v>
          </cell>
          <cell r="K52">
            <v>13500</v>
          </cell>
          <cell r="L52">
            <v>1</v>
          </cell>
          <cell r="M52" t="str">
            <v>EVET</v>
          </cell>
          <cell r="N52" t="str">
            <v>AKIN-AK</v>
          </cell>
          <cell r="P52">
            <v>1712</v>
          </cell>
        </row>
        <row r="53">
          <cell r="C53" t="str">
            <v>04.522/A</v>
          </cell>
          <cell r="D53" t="str">
            <v>AKRİLİK CEPHE KAPLAMASI</v>
          </cell>
          <cell r="E53" t="str">
            <v>HALİMOĞLU</v>
          </cell>
          <cell r="F53">
            <v>34683</v>
          </cell>
          <cell r="G53" t="str">
            <v>DSH-312</v>
          </cell>
          <cell r="I53" t="str">
            <v>VAR</v>
          </cell>
          <cell r="J53" t="str">
            <v>kg</v>
          </cell>
          <cell r="K53">
            <v>33800</v>
          </cell>
          <cell r="L53">
            <v>1</v>
          </cell>
          <cell r="M53" t="str">
            <v>EVET</v>
          </cell>
          <cell r="N53" t="str">
            <v>HALİMOĞLU</v>
          </cell>
          <cell r="P53">
            <v>1712</v>
          </cell>
        </row>
        <row r="54">
          <cell r="C54" t="str">
            <v>04.524/1</v>
          </cell>
          <cell r="D54" t="str">
            <v>PLASTİK BOYA</v>
          </cell>
          <cell r="E54" t="str">
            <v>HALİMOĞLU</v>
          </cell>
          <cell r="F54">
            <v>34683</v>
          </cell>
          <cell r="G54" t="str">
            <v>DSH-312</v>
          </cell>
          <cell r="I54" t="str">
            <v>VAR</v>
          </cell>
          <cell r="J54" t="str">
            <v>kg</v>
          </cell>
          <cell r="K54">
            <v>31350</v>
          </cell>
          <cell r="L54">
            <v>1</v>
          </cell>
          <cell r="M54" t="str">
            <v>EVET</v>
          </cell>
          <cell r="N54" t="str">
            <v>HALİMOĞLU</v>
          </cell>
          <cell r="P54">
            <v>903</v>
          </cell>
        </row>
        <row r="55">
          <cell r="C55" t="str">
            <v>04.524/1</v>
          </cell>
          <cell r="D55" t="str">
            <v>PLASTİK BOYA</v>
          </cell>
          <cell r="E55" t="str">
            <v>AKIN-AK</v>
          </cell>
          <cell r="F55">
            <v>34732</v>
          </cell>
          <cell r="G55" t="str">
            <v>DSH-111/95</v>
          </cell>
          <cell r="I55" t="str">
            <v>HAYIR</v>
          </cell>
          <cell r="J55" t="str">
            <v>kg</v>
          </cell>
          <cell r="K55">
            <v>31350</v>
          </cell>
          <cell r="L55">
            <v>1</v>
          </cell>
          <cell r="M55" t="str">
            <v>EVET</v>
          </cell>
          <cell r="N55" t="str">
            <v>AKIN-AK</v>
          </cell>
          <cell r="P55">
            <v>903</v>
          </cell>
        </row>
        <row r="56">
          <cell r="C56" t="str">
            <v>04.608</v>
          </cell>
          <cell r="D56" t="str">
            <v>BİTÜMLÜ KARTON</v>
          </cell>
          <cell r="E56" t="str">
            <v>LEVENT</v>
          </cell>
          <cell r="F56">
            <v>34764</v>
          </cell>
          <cell r="G56" t="str">
            <v>DSH-228/95</v>
          </cell>
          <cell r="I56" t="str">
            <v>HAYIR</v>
          </cell>
          <cell r="J56" t="str">
            <v>m2</v>
          </cell>
          <cell r="K56">
            <v>1800</v>
          </cell>
          <cell r="L56">
            <v>1</v>
          </cell>
          <cell r="M56" t="str">
            <v>EVET</v>
          </cell>
          <cell r="N56" t="str">
            <v>LEVENT</v>
          </cell>
          <cell r="P56">
            <v>401</v>
          </cell>
        </row>
        <row r="57">
          <cell r="C57" t="str">
            <v>04.691/1</v>
          </cell>
          <cell r="D57" t="str">
            <v>ISICAM</v>
          </cell>
          <cell r="E57" t="str">
            <v>GÜRSAN</v>
          </cell>
          <cell r="F57">
            <v>34632</v>
          </cell>
          <cell r="G57" t="str">
            <v>DSH-112</v>
          </cell>
          <cell r="I57" t="str">
            <v>HAYIR</v>
          </cell>
          <cell r="J57" t="str">
            <v>m²</v>
          </cell>
          <cell r="K57">
            <v>339000</v>
          </cell>
          <cell r="L57">
            <v>1</v>
          </cell>
          <cell r="M57" t="str">
            <v>EVET</v>
          </cell>
          <cell r="N57" t="str">
            <v>GÜRSAN</v>
          </cell>
          <cell r="P57">
            <v>541</v>
          </cell>
        </row>
        <row r="58">
          <cell r="C58" t="str">
            <v>04.709/6-B</v>
          </cell>
          <cell r="D58" t="str">
            <v>DUVAR KAĞIDI</v>
          </cell>
          <cell r="E58" t="str">
            <v>ZÜMRÜT</v>
          </cell>
          <cell r="F58">
            <v>34688</v>
          </cell>
          <cell r="G58" t="str">
            <v>DSH-349</v>
          </cell>
          <cell r="I58" t="str">
            <v>HAYIR</v>
          </cell>
          <cell r="J58" t="str">
            <v>m²</v>
          </cell>
          <cell r="K58">
            <v>6600</v>
          </cell>
          <cell r="L58">
            <v>1</v>
          </cell>
          <cell r="M58" t="str">
            <v>EVET</v>
          </cell>
          <cell r="N58" t="str">
            <v>ZÜMRÜT</v>
          </cell>
          <cell r="P58">
            <v>902</v>
          </cell>
        </row>
        <row r="59">
          <cell r="C59" t="str">
            <v>04.710/14</v>
          </cell>
          <cell r="D59" t="str">
            <v>3 mm. DKP SAC</v>
          </cell>
          <cell r="E59" t="str">
            <v>MANNESMAN</v>
          </cell>
          <cell r="F59">
            <v>34633</v>
          </cell>
          <cell r="G59" t="str">
            <v>DSH-114</v>
          </cell>
          <cell r="I59" t="str">
            <v>HAYIR</v>
          </cell>
          <cell r="J59" t="str">
            <v>kg.</v>
          </cell>
          <cell r="K59">
            <v>5060</v>
          </cell>
          <cell r="L59">
            <v>1</v>
          </cell>
          <cell r="M59" t="str">
            <v>EVET</v>
          </cell>
          <cell r="N59" t="str">
            <v>MANNESMAN</v>
          </cell>
        </row>
        <row r="60">
          <cell r="C60" t="str">
            <v>04.714/N</v>
          </cell>
          <cell r="D60" t="str">
            <v>ALUMİNYUM ASMA TAVAN</v>
          </cell>
          <cell r="E60" t="str">
            <v>ASSAN</v>
          </cell>
          <cell r="F60">
            <v>34708</v>
          </cell>
          <cell r="G60" t="str">
            <v>DSH-28</v>
          </cell>
          <cell r="I60" t="str">
            <v>HAYIR</v>
          </cell>
          <cell r="J60" t="str">
            <v>kg</v>
          </cell>
          <cell r="K60">
            <v>56250</v>
          </cell>
          <cell r="L60">
            <v>1</v>
          </cell>
          <cell r="M60" t="str">
            <v>EVET</v>
          </cell>
          <cell r="N60" t="str">
            <v>ASSAN</v>
          </cell>
          <cell r="P60">
            <v>903</v>
          </cell>
        </row>
        <row r="61">
          <cell r="C61" t="str">
            <v>04.734/13</v>
          </cell>
          <cell r="D61" t="str">
            <v>CAM YÜNÜ (6 cm)</v>
          </cell>
          <cell r="E61" t="str">
            <v>İZOCAM</v>
          </cell>
          <cell r="F61">
            <v>34684</v>
          </cell>
          <cell r="G61" t="str">
            <v>DSH-329</v>
          </cell>
          <cell r="I61" t="str">
            <v>HAYIR</v>
          </cell>
          <cell r="J61" t="str">
            <v>m²</v>
          </cell>
          <cell r="K61">
            <v>39640</v>
          </cell>
          <cell r="L61">
            <v>1</v>
          </cell>
          <cell r="M61" t="str">
            <v>EVET</v>
          </cell>
          <cell r="N61" t="str">
            <v>İZOCAM</v>
          </cell>
          <cell r="P61">
            <v>401</v>
          </cell>
        </row>
        <row r="62">
          <cell r="C62" t="str">
            <v>04.734/A4</v>
          </cell>
          <cell r="D62" t="str">
            <v>CAM YÜNÜ (3 cm)</v>
          </cell>
          <cell r="E62" t="str">
            <v>İZOCAM</v>
          </cell>
          <cell r="F62">
            <v>34684</v>
          </cell>
          <cell r="G62" t="str">
            <v>DSH-329</v>
          </cell>
          <cell r="I62" t="str">
            <v>HAYIR</v>
          </cell>
          <cell r="J62" t="str">
            <v>m²</v>
          </cell>
          <cell r="K62">
            <v>29000</v>
          </cell>
          <cell r="L62">
            <v>1</v>
          </cell>
          <cell r="M62" t="str">
            <v>EVET</v>
          </cell>
          <cell r="N62" t="str">
            <v>İZOCAM</v>
          </cell>
          <cell r="P62">
            <v>322</v>
          </cell>
        </row>
        <row r="63">
          <cell r="C63" t="str">
            <v>04.737/F</v>
          </cell>
          <cell r="D63" t="str">
            <v>SATEN ALÇI</v>
          </cell>
          <cell r="E63" t="str">
            <v>ABS</v>
          </cell>
          <cell r="F63">
            <v>34716</v>
          </cell>
          <cell r="G63" t="str">
            <v>DSH-52/95</v>
          </cell>
          <cell r="I63" t="str">
            <v>HAYIR</v>
          </cell>
          <cell r="J63" t="str">
            <v>ton</v>
          </cell>
          <cell r="K63">
            <v>1632000</v>
          </cell>
          <cell r="L63">
            <v>1</v>
          </cell>
          <cell r="M63" t="str">
            <v>EVET</v>
          </cell>
          <cell r="N63" t="str">
            <v>ABS</v>
          </cell>
          <cell r="P63">
            <v>311</v>
          </cell>
        </row>
        <row r="64">
          <cell r="C64" t="str">
            <v>04.737/H</v>
          </cell>
          <cell r="D64" t="str">
            <v>SIVA ALÇISI</v>
          </cell>
          <cell r="E64" t="str">
            <v>ABS</v>
          </cell>
          <cell r="F64">
            <v>34716</v>
          </cell>
          <cell r="G64" t="str">
            <v>DSH-52/95</v>
          </cell>
          <cell r="I64" t="str">
            <v>HAYIR</v>
          </cell>
          <cell r="J64" t="str">
            <v>ton</v>
          </cell>
          <cell r="K64">
            <v>1550000</v>
          </cell>
          <cell r="L64">
            <v>1</v>
          </cell>
          <cell r="M64" t="str">
            <v>EVET</v>
          </cell>
          <cell r="N64" t="str">
            <v>ABS</v>
          </cell>
          <cell r="P64">
            <v>311</v>
          </cell>
        </row>
        <row r="65">
          <cell r="C65" t="str">
            <v>04.749.7</v>
          </cell>
          <cell r="D65" t="str">
            <v>GAZBETON</v>
          </cell>
          <cell r="E65" t="str">
            <v>MARTU</v>
          </cell>
          <cell r="F65">
            <v>34683</v>
          </cell>
          <cell r="G65" t="str">
            <v>DSH-312</v>
          </cell>
          <cell r="I65" t="str">
            <v>VAR</v>
          </cell>
          <cell r="J65" t="str">
            <v>m²</v>
          </cell>
          <cell r="K65">
            <v>103450</v>
          </cell>
          <cell r="L65">
            <v>1</v>
          </cell>
          <cell r="M65" t="str">
            <v>EVET</v>
          </cell>
          <cell r="N65" t="str">
            <v>MARTU</v>
          </cell>
          <cell r="P65">
            <v>601</v>
          </cell>
        </row>
        <row r="66">
          <cell r="C66" t="str">
            <v>04.749/7</v>
          </cell>
          <cell r="D66" t="str">
            <v>GAZ BETON</v>
          </cell>
          <cell r="E66" t="str">
            <v>MARTU</v>
          </cell>
          <cell r="F66">
            <v>34683</v>
          </cell>
          <cell r="G66" t="str">
            <v>DSH-312</v>
          </cell>
          <cell r="I66" t="str">
            <v>VAR</v>
          </cell>
          <cell r="J66" t="str">
            <v>m²</v>
          </cell>
          <cell r="K66">
            <v>103450</v>
          </cell>
          <cell r="L66">
            <v>1</v>
          </cell>
          <cell r="M66" t="str">
            <v>EVET</v>
          </cell>
          <cell r="N66" t="str">
            <v>MARTU</v>
          </cell>
          <cell r="P66">
            <v>601</v>
          </cell>
        </row>
        <row r="67">
          <cell r="C67" t="str">
            <v>04.749/7.</v>
          </cell>
          <cell r="D67" t="str">
            <v>GAZBETON</v>
          </cell>
          <cell r="E67" t="str">
            <v>MARTU</v>
          </cell>
          <cell r="F67">
            <v>34683</v>
          </cell>
          <cell r="G67" t="str">
            <v>DSH-312</v>
          </cell>
          <cell r="I67" t="str">
            <v>HAYIR</v>
          </cell>
          <cell r="J67" t="str">
            <v>m²</v>
          </cell>
          <cell r="K67">
            <v>103450</v>
          </cell>
          <cell r="L67">
            <v>1</v>
          </cell>
          <cell r="M67" t="str">
            <v>EVET</v>
          </cell>
          <cell r="N67" t="str">
            <v>MARTU</v>
          </cell>
          <cell r="P67">
            <v>601</v>
          </cell>
        </row>
        <row r="68">
          <cell r="C68" t="str">
            <v>04.769/2</v>
          </cell>
          <cell r="D68" t="str">
            <v>PVC YAĞMUR İNİŞ BORU</v>
          </cell>
          <cell r="E68" t="str">
            <v>PİLSA</v>
          </cell>
          <cell r="F68">
            <v>34764</v>
          </cell>
          <cell r="G68" t="str">
            <v>DSH-209/95</v>
          </cell>
          <cell r="I68" t="str">
            <v>HAYIR</v>
          </cell>
          <cell r="J68" t="str">
            <v>mt</v>
          </cell>
          <cell r="K68">
            <v>34320</v>
          </cell>
          <cell r="L68">
            <v>1</v>
          </cell>
          <cell r="M68" t="str">
            <v>EVET</v>
          </cell>
          <cell r="N68" t="str">
            <v>PİLSA</v>
          </cell>
          <cell r="P68">
            <v>1711</v>
          </cell>
        </row>
        <row r="69">
          <cell r="C69" t="str">
            <v>04.769/6</v>
          </cell>
          <cell r="D69" t="str">
            <v>PVC YAĞMUR OLUĞU</v>
          </cell>
          <cell r="E69" t="str">
            <v>PİLSA</v>
          </cell>
          <cell r="F69">
            <v>34771</v>
          </cell>
          <cell r="G69" t="str">
            <v>DSH-228/95</v>
          </cell>
          <cell r="I69" t="str">
            <v>HAYIR</v>
          </cell>
          <cell r="J69" t="str">
            <v>mt</v>
          </cell>
          <cell r="K69">
            <v>26895</v>
          </cell>
          <cell r="L69">
            <v>1</v>
          </cell>
          <cell r="M69" t="str">
            <v>EVET</v>
          </cell>
          <cell r="N69" t="str">
            <v>PİLSA</v>
          </cell>
          <cell r="P69">
            <v>402</v>
          </cell>
        </row>
        <row r="70">
          <cell r="C70" t="str">
            <v>04.773/10</v>
          </cell>
          <cell r="D70" t="str">
            <v>MENTEŞE</v>
          </cell>
          <cell r="E70" t="str">
            <v>KANER</v>
          </cell>
          <cell r="F70">
            <v>34740</v>
          </cell>
          <cell r="G70" t="str">
            <v>DSH-139/95</v>
          </cell>
          <cell r="I70" t="str">
            <v>HAYIR</v>
          </cell>
          <cell r="J70" t="str">
            <v>ad.</v>
          </cell>
          <cell r="K70">
            <v>6000</v>
          </cell>
          <cell r="L70">
            <v>1</v>
          </cell>
          <cell r="M70" t="str">
            <v xml:space="preserve">EVET </v>
          </cell>
          <cell r="N70" t="str">
            <v>KANER</v>
          </cell>
          <cell r="P70">
            <v>531</v>
          </cell>
        </row>
        <row r="71">
          <cell r="C71" t="str">
            <v>04.773/17</v>
          </cell>
          <cell r="D71" t="str">
            <v>MANDAL (İSP. KOLU VE DAMAK)</v>
          </cell>
          <cell r="E71" t="str">
            <v>KANER</v>
          </cell>
          <cell r="F71">
            <v>34740</v>
          </cell>
          <cell r="G71" t="str">
            <v>DSH-139/95</v>
          </cell>
          <cell r="I71" t="str">
            <v>HAYIR</v>
          </cell>
          <cell r="J71" t="str">
            <v>ad.</v>
          </cell>
          <cell r="K71">
            <v>20000</v>
          </cell>
          <cell r="L71">
            <v>1</v>
          </cell>
          <cell r="M71" t="str">
            <v xml:space="preserve">EVET </v>
          </cell>
          <cell r="N71" t="str">
            <v>KANER</v>
          </cell>
          <cell r="P71">
            <v>531</v>
          </cell>
        </row>
        <row r="72">
          <cell r="C72" t="str">
            <v>04.773/24</v>
          </cell>
          <cell r="D72" t="str">
            <v>İSPANYOLET 100 cm.</v>
          </cell>
          <cell r="E72" t="str">
            <v>KANER</v>
          </cell>
          <cell r="F72">
            <v>34740</v>
          </cell>
          <cell r="G72" t="str">
            <v>DSH-139/95</v>
          </cell>
          <cell r="I72" t="str">
            <v>HAYIR</v>
          </cell>
          <cell r="J72" t="str">
            <v>ad.</v>
          </cell>
          <cell r="K72">
            <v>28700</v>
          </cell>
          <cell r="L72">
            <v>1</v>
          </cell>
          <cell r="M72" t="str">
            <v xml:space="preserve">EVET </v>
          </cell>
          <cell r="N72" t="str">
            <v>KANER</v>
          </cell>
          <cell r="P72">
            <v>531</v>
          </cell>
        </row>
        <row r="73">
          <cell r="C73" t="str">
            <v>04.773/27</v>
          </cell>
          <cell r="D73" t="str">
            <v>İSPANYOLET 160 cm.</v>
          </cell>
          <cell r="E73" t="str">
            <v>KANER</v>
          </cell>
          <cell r="F73">
            <v>34740</v>
          </cell>
          <cell r="G73" t="str">
            <v>DSH-139/95</v>
          </cell>
          <cell r="I73" t="str">
            <v>HAYIR</v>
          </cell>
          <cell r="J73" t="str">
            <v>ad.</v>
          </cell>
          <cell r="K73">
            <v>38000</v>
          </cell>
          <cell r="L73">
            <v>1</v>
          </cell>
          <cell r="M73" t="str">
            <v xml:space="preserve">EVET </v>
          </cell>
          <cell r="N73" t="str">
            <v>KANER</v>
          </cell>
          <cell r="P73">
            <v>531</v>
          </cell>
        </row>
        <row r="74">
          <cell r="C74" t="str">
            <v>04.773/8</v>
          </cell>
          <cell r="D74" t="str">
            <v>KAPI KOLU VE AYNALARI</v>
          </cell>
          <cell r="E74" t="str">
            <v>KANER</v>
          </cell>
          <cell r="F74">
            <v>34740</v>
          </cell>
          <cell r="G74" t="str">
            <v>DSH-139/95</v>
          </cell>
          <cell r="I74" t="str">
            <v>HAYIR</v>
          </cell>
          <cell r="J74" t="str">
            <v>tk.</v>
          </cell>
          <cell r="K74">
            <v>35000</v>
          </cell>
          <cell r="L74">
            <v>1</v>
          </cell>
          <cell r="M74" t="str">
            <v xml:space="preserve">EVET </v>
          </cell>
          <cell r="N74" t="str">
            <v>KANER</v>
          </cell>
          <cell r="P74">
            <v>531</v>
          </cell>
        </row>
        <row r="75">
          <cell r="C75" t="str">
            <v>071.103</v>
          </cell>
          <cell r="D75" t="str">
            <v>LAVABO</v>
          </cell>
          <cell r="E75" t="str">
            <v>SEREL</v>
          </cell>
          <cell r="F75">
            <v>34702</v>
          </cell>
          <cell r="G75" t="str">
            <v>DSH-08</v>
          </cell>
          <cell r="I75" t="str">
            <v>HAYIR</v>
          </cell>
          <cell r="J75" t="str">
            <v>ad</v>
          </cell>
          <cell r="K75">
            <v>580000</v>
          </cell>
          <cell r="L75">
            <v>0.6</v>
          </cell>
          <cell r="M75" t="str">
            <v>EVET</v>
          </cell>
          <cell r="N75" t="str">
            <v>SEREL</v>
          </cell>
          <cell r="P75">
            <v>1053</v>
          </cell>
        </row>
        <row r="76">
          <cell r="C76" t="str">
            <v>072.401</v>
          </cell>
          <cell r="D76" t="str">
            <v>LAVABO TESİSATI</v>
          </cell>
          <cell r="E76" t="str">
            <v>ECA</v>
          </cell>
          <cell r="F76">
            <v>34702</v>
          </cell>
          <cell r="G76" t="str">
            <v>DSH-08</v>
          </cell>
          <cell r="I76" t="str">
            <v>HAYIR</v>
          </cell>
          <cell r="J76" t="str">
            <v>ad</v>
          </cell>
          <cell r="K76">
            <v>540000</v>
          </cell>
          <cell r="L76">
            <v>0.6</v>
          </cell>
          <cell r="M76" t="str">
            <v>EVET</v>
          </cell>
          <cell r="N76" t="str">
            <v>ECA</v>
          </cell>
          <cell r="P76">
            <v>1051</v>
          </cell>
        </row>
        <row r="77">
          <cell r="C77" t="str">
            <v>072.501</v>
          </cell>
          <cell r="D77" t="str">
            <v>LAVABO TESİSATI</v>
          </cell>
          <cell r="E77" t="str">
            <v>ECA</v>
          </cell>
          <cell r="F77">
            <v>34702</v>
          </cell>
          <cell r="G77" t="str">
            <v>DSH-08</v>
          </cell>
          <cell r="I77" t="str">
            <v>HAYIR</v>
          </cell>
          <cell r="J77" t="str">
            <v>ad</v>
          </cell>
          <cell r="K77">
            <v>960000</v>
          </cell>
          <cell r="L77">
            <v>0.6</v>
          </cell>
          <cell r="M77" t="str">
            <v>EVET</v>
          </cell>
          <cell r="N77" t="str">
            <v>ECA</v>
          </cell>
          <cell r="P77">
            <v>1053</v>
          </cell>
        </row>
        <row r="78">
          <cell r="C78" t="str">
            <v>075.103</v>
          </cell>
          <cell r="D78" t="str">
            <v>ALATURKA HELA TAŞI</v>
          </cell>
          <cell r="E78" t="str">
            <v>SEREL</v>
          </cell>
          <cell r="F78">
            <v>34702</v>
          </cell>
          <cell r="G78" t="str">
            <v>DSH-08</v>
          </cell>
          <cell r="I78" t="str">
            <v>HAYIR</v>
          </cell>
          <cell r="J78" t="str">
            <v>ad</v>
          </cell>
          <cell r="K78">
            <v>1100000</v>
          </cell>
          <cell r="L78">
            <v>0.6</v>
          </cell>
          <cell r="M78" t="str">
            <v>EVET</v>
          </cell>
          <cell r="N78" t="str">
            <v>SEREL</v>
          </cell>
          <cell r="P78">
            <v>1053</v>
          </cell>
        </row>
        <row r="79">
          <cell r="C79" t="str">
            <v>076.400</v>
          </cell>
          <cell r="D79" t="str">
            <v>ALATURKA HELA TESİSATI</v>
          </cell>
          <cell r="E79" t="str">
            <v>VİSAM</v>
          </cell>
          <cell r="F79">
            <v>34684</v>
          </cell>
          <cell r="G79" t="str">
            <v>DSH-329</v>
          </cell>
          <cell r="I79" t="str">
            <v>HAYIR</v>
          </cell>
          <cell r="J79" t="str">
            <v>ad</v>
          </cell>
          <cell r="K79">
            <v>280000</v>
          </cell>
          <cell r="L79">
            <v>0.6</v>
          </cell>
          <cell r="M79" t="str">
            <v>EVET</v>
          </cell>
          <cell r="N79" t="str">
            <v>VİSAM</v>
          </cell>
          <cell r="P79">
            <v>1051</v>
          </cell>
        </row>
        <row r="80">
          <cell r="C80" t="str">
            <v>077.100</v>
          </cell>
          <cell r="D80" t="str">
            <v>ALAFRANGA HELA TAŞI</v>
          </cell>
          <cell r="E80" t="str">
            <v>SEREL</v>
          </cell>
          <cell r="F80">
            <v>34702</v>
          </cell>
          <cell r="G80" t="str">
            <v>DSH-08</v>
          </cell>
          <cell r="I80" t="str">
            <v>HAYIR</v>
          </cell>
          <cell r="J80" t="str">
            <v>ad</v>
          </cell>
          <cell r="K80">
            <v>1360000</v>
          </cell>
          <cell r="L80">
            <v>0.6</v>
          </cell>
          <cell r="M80" t="str">
            <v>EVET</v>
          </cell>
          <cell r="N80" t="str">
            <v>SEREL</v>
          </cell>
          <cell r="P80">
            <v>1053</v>
          </cell>
        </row>
        <row r="81">
          <cell r="C81" t="str">
            <v>078.400</v>
          </cell>
          <cell r="D81" t="str">
            <v>ALAFRANGA HELA TESİSATI</v>
          </cell>
          <cell r="E81" t="str">
            <v>VİSAM</v>
          </cell>
          <cell r="F81">
            <v>34684</v>
          </cell>
          <cell r="G81" t="str">
            <v>DSH-329</v>
          </cell>
          <cell r="I81" t="str">
            <v>HAYIR</v>
          </cell>
          <cell r="J81" t="str">
            <v>ad</v>
          </cell>
          <cell r="K81">
            <v>280000</v>
          </cell>
          <cell r="L81">
            <v>0.6</v>
          </cell>
          <cell r="M81" t="str">
            <v>EVET</v>
          </cell>
          <cell r="N81" t="str">
            <v>VİSAM</v>
          </cell>
          <cell r="P81">
            <v>1051</v>
          </cell>
        </row>
        <row r="82">
          <cell r="C82" t="str">
            <v>083.202</v>
          </cell>
          <cell r="D82" t="str">
            <v>EVİYE</v>
          </cell>
          <cell r="E82" t="str">
            <v>TEKA</v>
          </cell>
          <cell r="F82">
            <v>34712</v>
          </cell>
          <cell r="G82" t="str">
            <v>DSH-43</v>
          </cell>
          <cell r="I82" t="str">
            <v>HAYIR</v>
          </cell>
          <cell r="J82" t="str">
            <v>ad</v>
          </cell>
          <cell r="K82">
            <v>780000</v>
          </cell>
          <cell r="L82">
            <v>0.6</v>
          </cell>
          <cell r="M82" t="str">
            <v>EVET</v>
          </cell>
          <cell r="N82" t="str">
            <v>TEKA</v>
          </cell>
          <cell r="P82">
            <v>1054</v>
          </cell>
        </row>
        <row r="83">
          <cell r="C83" t="str">
            <v>084.102</v>
          </cell>
          <cell r="D83" t="str">
            <v>EVİYE TESİSATI</v>
          </cell>
          <cell r="E83" t="str">
            <v>ECA</v>
          </cell>
          <cell r="F83">
            <v>34702</v>
          </cell>
          <cell r="G83" t="str">
            <v>DSH-08</v>
          </cell>
          <cell r="I83" t="str">
            <v>HAYIR</v>
          </cell>
          <cell r="J83" t="str">
            <v>ad</v>
          </cell>
          <cell r="K83">
            <v>960000</v>
          </cell>
          <cell r="L83">
            <v>0.6</v>
          </cell>
          <cell r="M83" t="str">
            <v>EVET</v>
          </cell>
          <cell r="N83" t="str">
            <v>ECA</v>
          </cell>
          <cell r="P83">
            <v>1054</v>
          </cell>
        </row>
        <row r="84">
          <cell r="C84" t="str">
            <v>087.201</v>
          </cell>
          <cell r="D84" t="str">
            <v>DUŞ TEKNESİ</v>
          </cell>
          <cell r="E84" t="str">
            <v>ODÖKSAN</v>
          </cell>
          <cell r="F84">
            <v>34702</v>
          </cell>
          <cell r="G84" t="str">
            <v>DSH-08</v>
          </cell>
          <cell r="I84" t="str">
            <v>HAYIR</v>
          </cell>
          <cell r="J84" t="str">
            <v>ad</v>
          </cell>
          <cell r="K84">
            <v>1650000</v>
          </cell>
          <cell r="L84">
            <v>0.6</v>
          </cell>
          <cell r="M84" t="str">
            <v>EVET</v>
          </cell>
          <cell r="N84" t="str">
            <v>ODÖKSAN</v>
          </cell>
          <cell r="P84">
            <v>1052</v>
          </cell>
        </row>
        <row r="85">
          <cell r="C85" t="str">
            <v>089.000</v>
          </cell>
          <cell r="D85" t="str">
            <v>SIHHİ TES.ARMATÜRÜ</v>
          </cell>
          <cell r="E85" t="str">
            <v>ECA</v>
          </cell>
          <cell r="F85">
            <v>34702</v>
          </cell>
          <cell r="G85" t="str">
            <v>DSH-08</v>
          </cell>
          <cell r="I85" t="str">
            <v>HAYIR</v>
          </cell>
          <cell r="L85">
            <v>0.6</v>
          </cell>
          <cell r="M85" t="str">
            <v>EVET</v>
          </cell>
          <cell r="N85" t="str">
            <v>ECA</v>
          </cell>
          <cell r="P85">
            <v>1051</v>
          </cell>
        </row>
        <row r="86">
          <cell r="C86" t="str">
            <v>089.201</v>
          </cell>
          <cell r="D86" t="str">
            <v>ÇAMAŞIR MUSLUĞU</v>
          </cell>
          <cell r="E86" t="str">
            <v>ECA</v>
          </cell>
          <cell r="F86">
            <v>34702</v>
          </cell>
          <cell r="G86" t="str">
            <v>DSH-08</v>
          </cell>
          <cell r="I86" t="str">
            <v>HAYIR</v>
          </cell>
          <cell r="J86" t="str">
            <v>ad</v>
          </cell>
          <cell r="K86">
            <v>180000</v>
          </cell>
          <cell r="L86">
            <v>0.6</v>
          </cell>
          <cell r="M86" t="str">
            <v>EVET</v>
          </cell>
          <cell r="N86" t="str">
            <v>ECA</v>
          </cell>
          <cell r="P86">
            <v>1051</v>
          </cell>
        </row>
        <row r="87">
          <cell r="C87" t="str">
            <v>089.602</v>
          </cell>
          <cell r="D87" t="str">
            <v>DUŞ TESİSATI</v>
          </cell>
          <cell r="E87" t="str">
            <v>ECA</v>
          </cell>
          <cell r="F87">
            <v>34702</v>
          </cell>
          <cell r="G87" t="str">
            <v>DSH-08</v>
          </cell>
          <cell r="I87" t="str">
            <v>HAYIR</v>
          </cell>
          <cell r="J87" t="str">
            <v>ad</v>
          </cell>
          <cell r="K87">
            <v>980000</v>
          </cell>
          <cell r="L87">
            <v>0.6</v>
          </cell>
          <cell r="M87" t="str">
            <v>EVET</v>
          </cell>
          <cell r="N87" t="str">
            <v>ECA</v>
          </cell>
          <cell r="P87">
            <v>1051</v>
          </cell>
        </row>
        <row r="88">
          <cell r="C88" t="str">
            <v>089.907</v>
          </cell>
          <cell r="D88" t="str">
            <v>PLASTİK REZERVUAR</v>
          </cell>
          <cell r="E88" t="str">
            <v>VİSAM</v>
          </cell>
          <cell r="F88">
            <v>34684</v>
          </cell>
          <cell r="G88" t="str">
            <v>DSH-329</v>
          </cell>
          <cell r="I88" t="str">
            <v>HAYIR</v>
          </cell>
          <cell r="J88" t="str">
            <v>ad</v>
          </cell>
          <cell r="L88">
            <v>0.6</v>
          </cell>
          <cell r="M88" t="str">
            <v>EVET</v>
          </cell>
          <cell r="N88" t="str">
            <v>VİSAM</v>
          </cell>
        </row>
        <row r="89">
          <cell r="C89" t="str">
            <v>102.102</v>
          </cell>
          <cell r="D89" t="str">
            <v>YANGIN HORTUM DOLABI</v>
          </cell>
          <cell r="E89" t="str">
            <v>FETAŞ</v>
          </cell>
          <cell r="F89">
            <v>34716</v>
          </cell>
          <cell r="G89" t="str">
            <v>DSH-53/95</v>
          </cell>
          <cell r="I89" t="str">
            <v>HAYIR</v>
          </cell>
          <cell r="J89" t="str">
            <v>ad</v>
          </cell>
          <cell r="K89">
            <v>2325000</v>
          </cell>
          <cell r="L89">
            <v>0.6</v>
          </cell>
          <cell r="M89" t="str">
            <v>EVET</v>
          </cell>
          <cell r="N89" t="str">
            <v>FETAŞ</v>
          </cell>
          <cell r="P89">
            <v>1054</v>
          </cell>
        </row>
        <row r="90">
          <cell r="C90" t="str">
            <v>103.102</v>
          </cell>
          <cell r="D90" t="str">
            <v>SU SAYACI 3/4"</v>
          </cell>
          <cell r="E90" t="str">
            <v>ECA</v>
          </cell>
          <cell r="F90">
            <v>34715</v>
          </cell>
          <cell r="G90" t="str">
            <v>DSH-47</v>
          </cell>
          <cell r="I90" t="str">
            <v>HAYIR</v>
          </cell>
          <cell r="J90" t="str">
            <v>ad</v>
          </cell>
          <cell r="K90">
            <v>360000</v>
          </cell>
          <cell r="L90">
            <v>0.6</v>
          </cell>
          <cell r="M90" t="str">
            <v>EVET</v>
          </cell>
          <cell r="N90" t="str">
            <v>ECA</v>
          </cell>
          <cell r="P90">
            <v>1035</v>
          </cell>
        </row>
        <row r="91">
          <cell r="C91" t="str">
            <v>117.201</v>
          </cell>
          <cell r="D91" t="str">
            <v>SOFBEN 10lt/dk</v>
          </cell>
          <cell r="E91" t="str">
            <v>DEMİRDÖKÜM</v>
          </cell>
          <cell r="F91">
            <v>34702</v>
          </cell>
          <cell r="G91" t="str">
            <v>DSH-08</v>
          </cell>
          <cell r="I91" t="str">
            <v>HAYIR</v>
          </cell>
          <cell r="J91" t="str">
            <v>ad</v>
          </cell>
          <cell r="K91">
            <v>3950000</v>
          </cell>
          <cell r="L91">
            <v>0.8</v>
          </cell>
          <cell r="M91" t="str">
            <v>EVET</v>
          </cell>
          <cell r="N91" t="str">
            <v>DEMİRDÖKÜM</v>
          </cell>
          <cell r="P91">
            <v>1051</v>
          </cell>
        </row>
        <row r="92">
          <cell r="C92" t="str">
            <v>151.206/A</v>
          </cell>
          <cell r="D92" t="str">
            <v>KAL. KAZANI 244000 kcal/sa</v>
          </cell>
          <cell r="E92" t="str">
            <v>DEMİRDÖKÜM</v>
          </cell>
          <cell r="F92">
            <v>34688</v>
          </cell>
          <cell r="G92" t="str">
            <v>DSH-348</v>
          </cell>
          <cell r="I92" t="str">
            <v>HAYIR</v>
          </cell>
          <cell r="J92" t="str">
            <v>ad</v>
          </cell>
          <cell r="K92">
            <v>119150000</v>
          </cell>
          <cell r="L92">
            <v>0.8</v>
          </cell>
          <cell r="M92" t="str">
            <v>EVET</v>
          </cell>
          <cell r="N92" t="str">
            <v>DEMİRDÖKÜM</v>
          </cell>
          <cell r="P92">
            <v>143</v>
          </cell>
        </row>
        <row r="93">
          <cell r="C93" t="str">
            <v>151.207/A</v>
          </cell>
          <cell r="D93" t="str">
            <v>KAL. KAZANI 281000 kcal/sa</v>
          </cell>
          <cell r="E93" t="str">
            <v>DEMİRDÖKÜM</v>
          </cell>
          <cell r="F93">
            <v>34688</v>
          </cell>
          <cell r="G93" t="str">
            <v>DSH-348</v>
          </cell>
          <cell r="I93" t="str">
            <v>HAYIR</v>
          </cell>
          <cell r="J93" t="str">
            <v>ad</v>
          </cell>
          <cell r="K93">
            <v>129751428</v>
          </cell>
          <cell r="L93">
            <v>0.8</v>
          </cell>
          <cell r="M93" t="str">
            <v>EVET</v>
          </cell>
          <cell r="N93" t="str">
            <v>DEMİRDÖKÜM</v>
          </cell>
          <cell r="P93">
            <v>143</v>
          </cell>
        </row>
        <row r="94">
          <cell r="C94" t="str">
            <v>151.209/A</v>
          </cell>
          <cell r="D94" t="str">
            <v>KAL. KAZANI 355000 kcal/sa</v>
          </cell>
          <cell r="E94" t="str">
            <v>DEMİRDÖKÜM</v>
          </cell>
          <cell r="F94">
            <v>34688</v>
          </cell>
          <cell r="G94" t="str">
            <v>DSH-348</v>
          </cell>
          <cell r="I94" t="str">
            <v>HAYIR</v>
          </cell>
          <cell r="J94" t="str">
            <v>ad</v>
          </cell>
          <cell r="K94">
            <v>149500000</v>
          </cell>
          <cell r="L94">
            <v>0.8</v>
          </cell>
          <cell r="M94" t="str">
            <v>EVET</v>
          </cell>
          <cell r="N94" t="str">
            <v>DEMİRDÖKÜM</v>
          </cell>
          <cell r="P94">
            <v>143</v>
          </cell>
        </row>
        <row r="95">
          <cell r="C95" t="str">
            <v>151.211/A</v>
          </cell>
          <cell r="D95" t="str">
            <v>KAL. KAZANI 428000 kcal/sa</v>
          </cell>
          <cell r="E95" t="str">
            <v>DEMİRDÖKÜM</v>
          </cell>
          <cell r="F95">
            <v>34688</v>
          </cell>
          <cell r="G95" t="str">
            <v>DSH-348</v>
          </cell>
          <cell r="I95" t="str">
            <v>HAYIR</v>
          </cell>
          <cell r="J95" t="str">
            <v>ad</v>
          </cell>
          <cell r="K95">
            <v>168420000</v>
          </cell>
          <cell r="L95">
            <v>0.8</v>
          </cell>
          <cell r="M95" t="str">
            <v>EVET</v>
          </cell>
          <cell r="N95" t="str">
            <v>DEMİRDÖKÜM</v>
          </cell>
          <cell r="P95">
            <v>143</v>
          </cell>
        </row>
        <row r="96">
          <cell r="C96" t="str">
            <v>165.707</v>
          </cell>
          <cell r="D96" t="str">
            <v>PANEL RAD.PKKP 400</v>
          </cell>
          <cell r="E96" t="str">
            <v>DEMİRDÖKÜM</v>
          </cell>
          <cell r="F96">
            <v>34632</v>
          </cell>
          <cell r="G96" t="str">
            <v>DSH-112</v>
          </cell>
          <cell r="I96" t="str">
            <v>HAYIR</v>
          </cell>
          <cell r="J96" t="str">
            <v>mt</v>
          </cell>
          <cell r="K96">
            <v>1105000</v>
          </cell>
          <cell r="L96">
            <v>0.8</v>
          </cell>
          <cell r="M96" t="str">
            <v>EVET</v>
          </cell>
          <cell r="N96" t="str">
            <v>DEMİRDÖKÜM</v>
          </cell>
          <cell r="P96">
            <v>1021</v>
          </cell>
        </row>
        <row r="97">
          <cell r="C97" t="str">
            <v>165.708</v>
          </cell>
          <cell r="D97" t="str">
            <v>PANEL RAD.PKKP 600</v>
          </cell>
          <cell r="E97" t="str">
            <v>DEMİRDÖKÜM</v>
          </cell>
          <cell r="F97">
            <v>34632</v>
          </cell>
          <cell r="G97" t="str">
            <v>DSH-112</v>
          </cell>
          <cell r="I97" t="str">
            <v>HAYIR</v>
          </cell>
          <cell r="J97" t="str">
            <v>mt</v>
          </cell>
          <cell r="K97">
            <v>1495000</v>
          </cell>
          <cell r="L97">
            <v>0.8</v>
          </cell>
          <cell r="M97" t="str">
            <v>EVET</v>
          </cell>
          <cell r="N97" t="str">
            <v>DEMİRDÖKÜM</v>
          </cell>
          <cell r="P97">
            <v>1021</v>
          </cell>
        </row>
        <row r="98">
          <cell r="C98" t="str">
            <v>170.201</v>
          </cell>
          <cell r="D98" t="str">
            <v>RAD.MUSLUĞU 1/2"</v>
          </cell>
          <cell r="E98" t="str">
            <v>ECA</v>
          </cell>
          <cell r="F98">
            <v>34702</v>
          </cell>
          <cell r="G98" t="str">
            <v>DSH-08</v>
          </cell>
          <cell r="I98" t="str">
            <v>HAYIR</v>
          </cell>
          <cell r="J98" t="str">
            <v>ad</v>
          </cell>
          <cell r="K98">
            <v>125000</v>
          </cell>
          <cell r="L98">
            <v>0.6</v>
          </cell>
          <cell r="M98" t="str">
            <v>EVET</v>
          </cell>
          <cell r="N98" t="str">
            <v>ECA</v>
          </cell>
          <cell r="P98">
            <v>1021</v>
          </cell>
        </row>
        <row r="99">
          <cell r="C99" t="str">
            <v>170.601</v>
          </cell>
          <cell r="D99" t="str">
            <v>RAD.GERİ DÖN.VALFİ 1/2"</v>
          </cell>
          <cell r="E99" t="str">
            <v>ECA</v>
          </cell>
          <cell r="F99">
            <v>34702</v>
          </cell>
          <cell r="G99" t="str">
            <v>DSH-08</v>
          </cell>
          <cell r="I99" t="str">
            <v>HAYIR</v>
          </cell>
          <cell r="J99" t="str">
            <v>ad</v>
          </cell>
          <cell r="K99">
            <v>92000</v>
          </cell>
          <cell r="L99">
            <v>0.6</v>
          </cell>
          <cell r="M99" t="str">
            <v>EVET</v>
          </cell>
          <cell r="N99" t="str">
            <v>ECA</v>
          </cell>
          <cell r="P99">
            <v>1021</v>
          </cell>
        </row>
        <row r="100">
          <cell r="C100" t="str">
            <v>201.104</v>
          </cell>
          <cell r="D100" t="str">
            <v>BORU 1/2"</v>
          </cell>
          <cell r="E100" t="str">
            <v>MANNESMAN</v>
          </cell>
          <cell r="F100">
            <v>34633</v>
          </cell>
          <cell r="G100" t="str">
            <v>DSH-114</v>
          </cell>
          <cell r="I100" t="str">
            <v>HAYIR</v>
          </cell>
          <cell r="J100" t="str">
            <v>mt</v>
          </cell>
          <cell r="K100">
            <v>23500</v>
          </cell>
          <cell r="L100">
            <v>0.6</v>
          </cell>
          <cell r="M100" t="str">
            <v>EVET</v>
          </cell>
          <cell r="N100" t="str">
            <v>MANNESMAN</v>
          </cell>
          <cell r="P100">
            <v>1011</v>
          </cell>
        </row>
        <row r="101">
          <cell r="C101" t="str">
            <v>201.105</v>
          </cell>
          <cell r="D101" t="str">
            <v>BORU 3/4"</v>
          </cell>
          <cell r="E101" t="str">
            <v>MANNESMAN</v>
          </cell>
          <cell r="F101">
            <v>34633</v>
          </cell>
          <cell r="G101" t="str">
            <v>DSH-114</v>
          </cell>
          <cell r="I101" t="str">
            <v>HAYIR</v>
          </cell>
          <cell r="J101" t="str">
            <v>mt</v>
          </cell>
          <cell r="K101">
            <v>28000</v>
          </cell>
          <cell r="L101">
            <v>0.6</v>
          </cell>
          <cell r="M101" t="str">
            <v>EVET</v>
          </cell>
          <cell r="N101" t="str">
            <v>MANNESMAN</v>
          </cell>
          <cell r="P101">
            <v>1011</v>
          </cell>
        </row>
        <row r="102">
          <cell r="C102" t="str">
            <v>201.106</v>
          </cell>
          <cell r="D102" t="str">
            <v>BORU 1"</v>
          </cell>
          <cell r="E102" t="str">
            <v>MANNESMAN</v>
          </cell>
          <cell r="F102">
            <v>34633</v>
          </cell>
          <cell r="G102" t="str">
            <v>DSH-114</v>
          </cell>
          <cell r="I102" t="str">
            <v>HAYIR</v>
          </cell>
          <cell r="J102" t="str">
            <v>mt</v>
          </cell>
          <cell r="K102">
            <v>37000</v>
          </cell>
          <cell r="L102">
            <v>0.6</v>
          </cell>
          <cell r="M102" t="str">
            <v>EVET</v>
          </cell>
          <cell r="N102" t="str">
            <v>MANNESMAN</v>
          </cell>
          <cell r="P102">
            <v>1011</v>
          </cell>
        </row>
        <row r="103">
          <cell r="C103" t="str">
            <v>201.110</v>
          </cell>
          <cell r="D103" t="str">
            <v>BORU 2 1/2"</v>
          </cell>
          <cell r="E103" t="str">
            <v>MANNESMAN</v>
          </cell>
          <cell r="F103">
            <v>34633</v>
          </cell>
          <cell r="G103" t="str">
            <v>DSH-114</v>
          </cell>
          <cell r="I103" t="str">
            <v>HAYIR</v>
          </cell>
          <cell r="J103" t="str">
            <v>mt</v>
          </cell>
          <cell r="K103">
            <v>86600</v>
          </cell>
          <cell r="L103">
            <v>0.6</v>
          </cell>
          <cell r="M103" t="str">
            <v>EVET</v>
          </cell>
          <cell r="N103" t="str">
            <v>MANNESMAN</v>
          </cell>
        </row>
        <row r="104">
          <cell r="C104" t="str">
            <v>201.111</v>
          </cell>
          <cell r="D104" t="str">
            <v>BORU 3"</v>
          </cell>
          <cell r="E104" t="str">
            <v>MANNESMAN</v>
          </cell>
          <cell r="F104">
            <v>34633</v>
          </cell>
          <cell r="G104" t="str">
            <v>DSH-114</v>
          </cell>
          <cell r="I104" t="str">
            <v>HAYIR</v>
          </cell>
          <cell r="J104" t="str">
            <v>mt</v>
          </cell>
          <cell r="K104">
            <v>109700</v>
          </cell>
          <cell r="L104">
            <v>0.6</v>
          </cell>
          <cell r="M104" t="str">
            <v>EVET</v>
          </cell>
          <cell r="N104" t="str">
            <v>MANNESMAN</v>
          </cell>
        </row>
        <row r="105">
          <cell r="C105" t="str">
            <v>201.400-500</v>
          </cell>
          <cell r="D105" t="str">
            <v>BORU BAĞL.VE MONT.MALZ.%30</v>
          </cell>
          <cell r="E105" t="str">
            <v>İZSAL</v>
          </cell>
          <cell r="F105">
            <v>34688</v>
          </cell>
          <cell r="G105" t="str">
            <v>DSH-349</v>
          </cell>
          <cell r="I105" t="str">
            <v>HAYIR</v>
          </cell>
          <cell r="J105" t="str">
            <v>ad</v>
          </cell>
          <cell r="K105">
            <v>181495200</v>
          </cell>
          <cell r="L105">
            <v>0.6</v>
          </cell>
          <cell r="M105" t="str">
            <v>EVET</v>
          </cell>
          <cell r="N105" t="str">
            <v>İZSAL</v>
          </cell>
        </row>
        <row r="106">
          <cell r="C106" t="str">
            <v>204.3102</v>
          </cell>
          <cell r="D106" t="str">
            <v>PPRC BORU Ø 20 VE FITİNGSLERİ</v>
          </cell>
          <cell r="E106" t="str">
            <v>ARILI</v>
          </cell>
          <cell r="F106">
            <v>34688</v>
          </cell>
          <cell r="G106" t="str">
            <v>DSH-349</v>
          </cell>
          <cell r="I106" t="str">
            <v>HAYIR</v>
          </cell>
          <cell r="J106" t="str">
            <v>mt</v>
          </cell>
          <cell r="K106">
            <v>30500</v>
          </cell>
          <cell r="L106">
            <v>0.8</v>
          </cell>
          <cell r="M106" t="str">
            <v>EVET</v>
          </cell>
          <cell r="N106" t="str">
            <v>ARILI</v>
          </cell>
          <cell r="P106">
            <v>1041</v>
          </cell>
        </row>
        <row r="107">
          <cell r="C107" t="str">
            <v>204.3103</v>
          </cell>
          <cell r="D107" t="str">
            <v>PPRC BORU Ø 25 VE FİTİNGSLERİ</v>
          </cell>
          <cell r="E107" t="str">
            <v>ARILI</v>
          </cell>
          <cell r="F107">
            <v>34688</v>
          </cell>
          <cell r="G107" t="str">
            <v>DSH-349</v>
          </cell>
          <cell r="I107" t="str">
            <v>HAYIR</v>
          </cell>
          <cell r="J107" t="str">
            <v>mt</v>
          </cell>
          <cell r="K107">
            <v>41250</v>
          </cell>
          <cell r="L107">
            <v>0.8</v>
          </cell>
          <cell r="M107" t="str">
            <v>EVET</v>
          </cell>
          <cell r="N107" t="str">
            <v>ARILI</v>
          </cell>
          <cell r="P107">
            <v>1041</v>
          </cell>
        </row>
        <row r="108">
          <cell r="C108" t="str">
            <v>204.3300</v>
          </cell>
          <cell r="D108" t="str">
            <v>PPRC MONTAJ MALZ.BEDELİ %45</v>
          </cell>
          <cell r="E108" t="str">
            <v>ARILI</v>
          </cell>
          <cell r="F108">
            <v>34688</v>
          </cell>
          <cell r="G108" t="str">
            <v>DSH-349</v>
          </cell>
          <cell r="I108" t="str">
            <v>HAYIR</v>
          </cell>
          <cell r="J108" t="str">
            <v>ad</v>
          </cell>
          <cell r="K108">
            <v>343850625</v>
          </cell>
          <cell r="L108">
            <v>0.8</v>
          </cell>
          <cell r="M108" t="str">
            <v>EVET</v>
          </cell>
          <cell r="N108" t="str">
            <v>ARILI</v>
          </cell>
        </row>
        <row r="109">
          <cell r="C109" t="str">
            <v>204.401</v>
          </cell>
          <cell r="D109" t="str">
            <v>PVC PİSSU BORUSU  O 50</v>
          </cell>
          <cell r="E109" t="str">
            <v>PİLSA</v>
          </cell>
          <cell r="F109">
            <v>34764</v>
          </cell>
          <cell r="G109" t="str">
            <v>DSH-209/95</v>
          </cell>
          <cell r="I109" t="str">
            <v>HAYIR</v>
          </cell>
          <cell r="J109" t="str">
            <v>mt</v>
          </cell>
          <cell r="K109">
            <v>24750</v>
          </cell>
          <cell r="L109">
            <v>0.6</v>
          </cell>
          <cell r="M109" t="str">
            <v>EVET</v>
          </cell>
          <cell r="N109" t="str">
            <v>PİLSA</v>
          </cell>
          <cell r="P109">
            <v>1044</v>
          </cell>
        </row>
        <row r="110">
          <cell r="C110" t="str">
            <v>204.402</v>
          </cell>
          <cell r="D110" t="str">
            <v>PVC PİSSU BORUSU  O 70</v>
          </cell>
          <cell r="E110" t="str">
            <v>PİLSA</v>
          </cell>
          <cell r="F110">
            <v>34764</v>
          </cell>
          <cell r="G110" t="str">
            <v>DSH-209/95</v>
          </cell>
          <cell r="I110" t="str">
            <v>HAYIR</v>
          </cell>
          <cell r="J110" t="str">
            <v>mt</v>
          </cell>
          <cell r="K110">
            <v>35500</v>
          </cell>
          <cell r="L110">
            <v>0.6</v>
          </cell>
          <cell r="M110" t="str">
            <v>EVET</v>
          </cell>
          <cell r="N110" t="str">
            <v>PİLSA</v>
          </cell>
          <cell r="P110">
            <v>1044</v>
          </cell>
        </row>
        <row r="111">
          <cell r="C111" t="str">
            <v>204.403</v>
          </cell>
          <cell r="D111" t="str">
            <v>PVC PİSSU BORUSU  O 100</v>
          </cell>
          <cell r="E111" t="str">
            <v>PİLSA</v>
          </cell>
          <cell r="F111">
            <v>34764</v>
          </cell>
          <cell r="G111" t="str">
            <v>DSH-209/95</v>
          </cell>
          <cell r="I111" t="str">
            <v>HAYIR</v>
          </cell>
          <cell r="J111" t="str">
            <v>mt</v>
          </cell>
          <cell r="K111">
            <v>62000</v>
          </cell>
          <cell r="L111">
            <v>0.6</v>
          </cell>
          <cell r="M111" t="str">
            <v>EVET</v>
          </cell>
          <cell r="N111" t="str">
            <v>PİLSA</v>
          </cell>
          <cell r="P111">
            <v>1044</v>
          </cell>
        </row>
        <row r="112">
          <cell r="C112" t="str">
            <v>204.404</v>
          </cell>
          <cell r="D112" t="str">
            <v>PVC PİSSU BORUSU  O 125</v>
          </cell>
          <cell r="E112" t="str">
            <v>PİLSA</v>
          </cell>
          <cell r="F112">
            <v>34764</v>
          </cell>
          <cell r="G112" t="str">
            <v>DSH-209/95</v>
          </cell>
          <cell r="I112" t="str">
            <v>HAYIR</v>
          </cell>
          <cell r="J112" t="str">
            <v>mt</v>
          </cell>
          <cell r="K112">
            <v>76500</v>
          </cell>
          <cell r="L112">
            <v>0.6</v>
          </cell>
          <cell r="M112" t="str">
            <v>EVET</v>
          </cell>
          <cell r="N112" t="str">
            <v>PİLSA</v>
          </cell>
          <cell r="P112">
            <v>1044</v>
          </cell>
        </row>
        <row r="113">
          <cell r="C113" t="str">
            <v>204.405</v>
          </cell>
          <cell r="D113" t="str">
            <v>PVC PİSSU BORUSU  O 150</v>
          </cell>
          <cell r="E113" t="str">
            <v>PİLSA</v>
          </cell>
          <cell r="F113">
            <v>34764</v>
          </cell>
          <cell r="G113" t="str">
            <v>DSH-209/95</v>
          </cell>
          <cell r="I113" t="str">
            <v>HAYIR</v>
          </cell>
          <cell r="J113" t="str">
            <v>mt</v>
          </cell>
          <cell r="K113">
            <v>124500</v>
          </cell>
          <cell r="L113">
            <v>0.6</v>
          </cell>
          <cell r="M113" t="str">
            <v>EVET</v>
          </cell>
          <cell r="N113" t="str">
            <v>PİLSA</v>
          </cell>
          <cell r="P113">
            <v>1044</v>
          </cell>
        </row>
        <row r="114">
          <cell r="C114" t="str">
            <v>207.102</v>
          </cell>
          <cell r="D114" t="str">
            <v>ŞİBER VANA 3/4"</v>
          </cell>
          <cell r="E114" t="str">
            <v>ECA</v>
          </cell>
          <cell r="F114">
            <v>34702</v>
          </cell>
          <cell r="G114" t="str">
            <v>DSH-08</v>
          </cell>
          <cell r="I114" t="str">
            <v>HAYIR</v>
          </cell>
          <cell r="J114" t="str">
            <v>ad</v>
          </cell>
          <cell r="K114">
            <v>100000</v>
          </cell>
          <cell r="L114">
            <v>0.8</v>
          </cell>
          <cell r="M114" t="str">
            <v>EVET</v>
          </cell>
          <cell r="N114" t="str">
            <v>ECA</v>
          </cell>
          <cell r="P114">
            <v>1035</v>
          </cell>
        </row>
        <row r="115">
          <cell r="C115" t="str">
            <v>207.601</v>
          </cell>
          <cell r="D115" t="str">
            <v>KOSVA VANA 1/2"</v>
          </cell>
          <cell r="E115" t="str">
            <v>ECA</v>
          </cell>
          <cell r="F115">
            <v>34702</v>
          </cell>
          <cell r="G115" t="str">
            <v>DSH-08</v>
          </cell>
          <cell r="I115" t="str">
            <v>HAYIR</v>
          </cell>
          <cell r="J115" t="str">
            <v>ad</v>
          </cell>
          <cell r="K115">
            <v>125000</v>
          </cell>
          <cell r="L115">
            <v>0.8</v>
          </cell>
          <cell r="M115" t="str">
            <v>EVET</v>
          </cell>
          <cell r="N115" t="str">
            <v>ECA</v>
          </cell>
          <cell r="P115">
            <v>1033</v>
          </cell>
        </row>
        <row r="116">
          <cell r="C116" t="str">
            <v>207.602</v>
          </cell>
          <cell r="D116" t="str">
            <v>KOSVA VANA 3/4"</v>
          </cell>
          <cell r="E116" t="str">
            <v>ECA</v>
          </cell>
          <cell r="F116">
            <v>34702</v>
          </cell>
          <cell r="G116" t="str">
            <v>DSH-08</v>
          </cell>
          <cell r="I116" t="str">
            <v>HAYIR</v>
          </cell>
          <cell r="J116" t="str">
            <v>ad</v>
          </cell>
          <cell r="K116">
            <v>145000</v>
          </cell>
          <cell r="L116">
            <v>0.8</v>
          </cell>
          <cell r="M116" t="str">
            <v>EVET</v>
          </cell>
          <cell r="N116" t="str">
            <v>ECA</v>
          </cell>
          <cell r="P116">
            <v>1033</v>
          </cell>
        </row>
        <row r="117">
          <cell r="C117" t="str">
            <v>207.603</v>
          </cell>
          <cell r="D117" t="str">
            <v>KOSVA VANA 1"</v>
          </cell>
          <cell r="E117" t="str">
            <v>ECA</v>
          </cell>
          <cell r="F117">
            <v>34702</v>
          </cell>
          <cell r="G117" t="str">
            <v>DSH-08</v>
          </cell>
          <cell r="I117" t="str">
            <v>HAYIR</v>
          </cell>
          <cell r="J117" t="str">
            <v>ad</v>
          </cell>
          <cell r="K117">
            <v>225000</v>
          </cell>
          <cell r="L117">
            <v>0.8</v>
          </cell>
          <cell r="M117" t="str">
            <v>EVET</v>
          </cell>
          <cell r="N117" t="str">
            <v>ECA</v>
          </cell>
          <cell r="P117">
            <v>1033</v>
          </cell>
        </row>
        <row r="118">
          <cell r="C118" t="str">
            <v>210.612</v>
          </cell>
          <cell r="D118" t="str">
            <v>KÜRESEL VANA 1/2"</v>
          </cell>
          <cell r="E118" t="str">
            <v>ECA</v>
          </cell>
          <cell r="F118">
            <v>34702</v>
          </cell>
          <cell r="G118" t="str">
            <v>DSH-08</v>
          </cell>
          <cell r="I118" t="str">
            <v>HAYIR</v>
          </cell>
          <cell r="J118" t="str">
            <v>ad</v>
          </cell>
          <cell r="K118">
            <v>130000</v>
          </cell>
          <cell r="L118">
            <v>0.8</v>
          </cell>
          <cell r="M118" t="str">
            <v>EVET</v>
          </cell>
          <cell r="N118" t="str">
            <v>ECA</v>
          </cell>
          <cell r="P118">
            <v>1033</v>
          </cell>
        </row>
        <row r="119">
          <cell r="C119" t="str">
            <v>23.155</v>
          </cell>
          <cell r="D119" t="str">
            <v>SAC KAPI KASASI</v>
          </cell>
          <cell r="E119" t="str">
            <v>ÇİNLER</v>
          </cell>
          <cell r="F119">
            <v>34683</v>
          </cell>
          <cell r="G119" t="str">
            <v>DSH-312</v>
          </cell>
          <cell r="I119" t="str">
            <v>VAR</v>
          </cell>
          <cell r="J119" t="str">
            <v>kg</v>
          </cell>
          <cell r="K119">
            <v>29663</v>
          </cell>
          <cell r="L119">
            <v>0.7</v>
          </cell>
          <cell r="M119" t="str">
            <v>EVET</v>
          </cell>
          <cell r="N119" t="str">
            <v>ÇİNLER</v>
          </cell>
          <cell r="P119">
            <v>512</v>
          </cell>
        </row>
        <row r="120">
          <cell r="C120" t="str">
            <v>402.201/A</v>
          </cell>
          <cell r="D120" t="str">
            <v>BRÜLÖR 31 kCal/h</v>
          </cell>
          <cell r="E120" t="str">
            <v>ALARKO</v>
          </cell>
          <cell r="F120">
            <v>34745</v>
          </cell>
          <cell r="G120" t="str">
            <v>DSH-152/95</v>
          </cell>
          <cell r="I120" t="str">
            <v>HAYIR</v>
          </cell>
          <cell r="J120" t="str">
            <v>Ad.</v>
          </cell>
          <cell r="K120">
            <v>27870000</v>
          </cell>
          <cell r="L120">
            <v>0.6</v>
          </cell>
          <cell r="M120" t="str">
            <v>EVET</v>
          </cell>
          <cell r="N120" t="str">
            <v>ALARKO</v>
          </cell>
        </row>
        <row r="121">
          <cell r="C121" t="str">
            <v>402.201/B</v>
          </cell>
          <cell r="D121" t="str">
            <v>BRÜLÖR 36 kCal/h</v>
          </cell>
          <cell r="E121" t="str">
            <v>ALARKO</v>
          </cell>
          <cell r="F121">
            <v>34745</v>
          </cell>
          <cell r="G121" t="str">
            <v>DSH-152/</v>
          </cell>
          <cell r="I121" t="str">
            <v>HAYIR</v>
          </cell>
          <cell r="J121" t="str">
            <v>Ad.</v>
          </cell>
          <cell r="K121">
            <v>29220000</v>
          </cell>
          <cell r="L121">
            <v>0.6</v>
          </cell>
          <cell r="M121" t="str">
            <v>EVET</v>
          </cell>
          <cell r="N121" t="str">
            <v>ALARKO</v>
          </cell>
        </row>
        <row r="122">
          <cell r="C122" t="str">
            <v>402.201/D</v>
          </cell>
          <cell r="D122" t="str">
            <v>BRÜLÖR45 kCal/h</v>
          </cell>
          <cell r="E122" t="str">
            <v>ALARKO</v>
          </cell>
          <cell r="F122">
            <v>34745</v>
          </cell>
          <cell r="G122" t="str">
            <v>DSH-152/</v>
          </cell>
          <cell r="I122" t="str">
            <v>HAYIR</v>
          </cell>
          <cell r="J122" t="str">
            <v>Ad.</v>
          </cell>
          <cell r="K122">
            <v>31650000</v>
          </cell>
          <cell r="L122">
            <v>0.6</v>
          </cell>
          <cell r="M122" t="str">
            <v>EVET</v>
          </cell>
          <cell r="N122" t="str">
            <v>ALARKO</v>
          </cell>
        </row>
        <row r="123">
          <cell r="C123" t="str">
            <v>402.202/A</v>
          </cell>
          <cell r="D123" t="str">
            <v>BRÜLÖR 54 kCal/h</v>
          </cell>
          <cell r="E123" t="str">
            <v>ALARKO</v>
          </cell>
          <cell r="F123">
            <v>34745</v>
          </cell>
          <cell r="G123" t="str">
            <v>DSH-152/95</v>
          </cell>
          <cell r="I123" t="str">
            <v>HAYIR</v>
          </cell>
          <cell r="J123" t="str">
            <v>Ad.</v>
          </cell>
          <cell r="K123">
            <v>34240000</v>
          </cell>
          <cell r="L123">
            <v>0.6</v>
          </cell>
          <cell r="M123" t="str">
            <v>EVET</v>
          </cell>
          <cell r="N123" t="str">
            <v>ALARKO</v>
          </cell>
        </row>
        <row r="124">
          <cell r="C124" t="str">
            <v>412.108</v>
          </cell>
          <cell r="D124" t="str">
            <v>YAKIT TANKI 20 m3</v>
          </cell>
          <cell r="E124" t="str">
            <v>DİYARBAKIR</v>
          </cell>
          <cell r="F124">
            <v>34816</v>
          </cell>
          <cell r="G124" t="str">
            <v>DSH-04</v>
          </cell>
          <cell r="I124" t="str">
            <v>HAYIR</v>
          </cell>
          <cell r="J124" t="str">
            <v>Ad.</v>
          </cell>
          <cell r="K124">
            <v>48100000</v>
          </cell>
          <cell r="L124">
            <v>0.6</v>
          </cell>
          <cell r="M124" t="str">
            <v>EVET</v>
          </cell>
          <cell r="N124" t="str">
            <v>DİYARBAKIR</v>
          </cell>
        </row>
        <row r="125">
          <cell r="C125" t="str">
            <v>707.103</v>
          </cell>
          <cell r="D125" t="str">
            <v>DAİRE SİGORTA KUTUSU</v>
          </cell>
          <cell r="E125" t="str">
            <v>MERLİN GERİN</v>
          </cell>
          <cell r="F125">
            <v>34655</v>
          </cell>
          <cell r="G125" t="str">
            <v>DSH-228</v>
          </cell>
          <cell r="I125" t="str">
            <v>HAYIR</v>
          </cell>
          <cell r="J125" t="str">
            <v>ad</v>
          </cell>
          <cell r="K125">
            <v>77000</v>
          </cell>
          <cell r="L125">
            <v>0.6</v>
          </cell>
          <cell r="M125" t="str">
            <v>EVET</v>
          </cell>
          <cell r="N125" t="str">
            <v>MERLİN GERİN</v>
          </cell>
          <cell r="P125">
            <v>1131</v>
          </cell>
        </row>
        <row r="126">
          <cell r="C126" t="str">
            <v>720.106</v>
          </cell>
          <cell r="D126" t="str">
            <v>YÜK KESİCİ</v>
          </cell>
          <cell r="E126" t="str">
            <v>KALEPORSELEN</v>
          </cell>
          <cell r="F126">
            <v>34695</v>
          </cell>
          <cell r="G126" t="str">
            <v>DSH-384</v>
          </cell>
          <cell r="I126" t="str">
            <v>HAYIR</v>
          </cell>
          <cell r="J126" t="str">
            <v>ad</v>
          </cell>
          <cell r="K126">
            <v>1100000</v>
          </cell>
          <cell r="L126">
            <v>0.6</v>
          </cell>
          <cell r="M126" t="str">
            <v>EVET</v>
          </cell>
          <cell r="N126" t="str">
            <v>KALEPORSELEN</v>
          </cell>
        </row>
        <row r="127">
          <cell r="C127" t="str">
            <v>724.401</v>
          </cell>
          <cell r="D127" t="str">
            <v>SİGORTA( W-OTOMAT) 10 A</v>
          </cell>
          <cell r="E127" t="str">
            <v>MERLİN GERİN</v>
          </cell>
          <cell r="F127">
            <v>34655</v>
          </cell>
          <cell r="G127" t="str">
            <v>DSH-228</v>
          </cell>
          <cell r="I127" t="str">
            <v>HAYIR</v>
          </cell>
          <cell r="J127" t="str">
            <v>ad</v>
          </cell>
          <cell r="K127">
            <v>75000</v>
          </cell>
          <cell r="L127">
            <v>0.6</v>
          </cell>
          <cell r="M127" t="str">
            <v>EVET</v>
          </cell>
          <cell r="N127" t="str">
            <v>MERLİN GERİN</v>
          </cell>
          <cell r="P127">
            <v>1131</v>
          </cell>
        </row>
        <row r="128">
          <cell r="C128" t="str">
            <v>724.401.</v>
          </cell>
          <cell r="D128" t="str">
            <v>SİGORTA( W-OTOMAT) 16 A</v>
          </cell>
          <cell r="E128" t="str">
            <v>MERLİN GERİN</v>
          </cell>
          <cell r="F128">
            <v>34655</v>
          </cell>
          <cell r="G128" t="str">
            <v>DSH-228</v>
          </cell>
          <cell r="I128" t="str">
            <v>HAYIR</v>
          </cell>
          <cell r="J128" t="str">
            <v>ad</v>
          </cell>
          <cell r="K128">
            <v>75000</v>
          </cell>
          <cell r="L128">
            <v>0.6</v>
          </cell>
          <cell r="M128" t="str">
            <v>EVET</v>
          </cell>
          <cell r="N128" t="str">
            <v>MERLİN GERİN</v>
          </cell>
          <cell r="P128">
            <v>1131</v>
          </cell>
        </row>
        <row r="129">
          <cell r="C129" t="str">
            <v>724.402</v>
          </cell>
          <cell r="D129" t="str">
            <v>SİGORTA( W-OTOMAT) 20 A</v>
          </cell>
          <cell r="E129" t="str">
            <v>MERLİN GERİN</v>
          </cell>
          <cell r="F129">
            <v>34655</v>
          </cell>
          <cell r="G129" t="str">
            <v>DSH-228</v>
          </cell>
          <cell r="I129" t="str">
            <v>HAYIR</v>
          </cell>
          <cell r="J129" t="str">
            <v>ad</v>
          </cell>
          <cell r="K129">
            <v>75000</v>
          </cell>
          <cell r="L129">
            <v>0.6</v>
          </cell>
          <cell r="M129" t="str">
            <v>EVET</v>
          </cell>
          <cell r="N129" t="str">
            <v>MERLİN GERİN</v>
          </cell>
          <cell r="P129">
            <v>1131</v>
          </cell>
        </row>
        <row r="130">
          <cell r="C130" t="str">
            <v>724.402.</v>
          </cell>
          <cell r="D130" t="str">
            <v xml:space="preserve">SİGORTA( W-OTOMAT) 25 A </v>
          </cell>
          <cell r="E130" t="str">
            <v>MERLİN GERİN</v>
          </cell>
          <cell r="F130">
            <v>34655</v>
          </cell>
          <cell r="G130" t="str">
            <v>DSH-228</v>
          </cell>
          <cell r="I130" t="str">
            <v>HAYIR</v>
          </cell>
          <cell r="J130" t="str">
            <v>ad</v>
          </cell>
          <cell r="K130">
            <v>75000</v>
          </cell>
          <cell r="L130">
            <v>0.6</v>
          </cell>
          <cell r="M130" t="str">
            <v>EVET</v>
          </cell>
          <cell r="N130" t="str">
            <v>MERLİN GERİN</v>
          </cell>
          <cell r="P130">
            <v>1131</v>
          </cell>
        </row>
        <row r="131">
          <cell r="C131" t="str">
            <v>724.404</v>
          </cell>
          <cell r="D131" t="str">
            <v>SİGORTA( W-OTOMAT) 32 A</v>
          </cell>
          <cell r="E131" t="str">
            <v>MERLİN GERİN</v>
          </cell>
          <cell r="F131">
            <v>34655</v>
          </cell>
          <cell r="G131" t="str">
            <v>DSH-228</v>
          </cell>
          <cell r="I131" t="str">
            <v>HAYIR</v>
          </cell>
          <cell r="J131" t="str">
            <v>ad</v>
          </cell>
          <cell r="K131">
            <v>75000</v>
          </cell>
          <cell r="L131">
            <v>0.6</v>
          </cell>
          <cell r="M131" t="str">
            <v>EVET</v>
          </cell>
          <cell r="N131" t="str">
            <v>MERLİN GERİN</v>
          </cell>
          <cell r="P131">
            <v>1131</v>
          </cell>
        </row>
        <row r="132">
          <cell r="C132" t="str">
            <v>724.406</v>
          </cell>
          <cell r="D132" t="str">
            <v>SİGORTA( W-OTOMAT)  3x16 A</v>
          </cell>
          <cell r="E132" t="str">
            <v>MERLİN GERİN</v>
          </cell>
          <cell r="F132">
            <v>34655</v>
          </cell>
          <cell r="G132" t="str">
            <v>DSH-228</v>
          </cell>
          <cell r="I132" t="str">
            <v>HAYIR</v>
          </cell>
          <cell r="J132" t="str">
            <v>ad</v>
          </cell>
          <cell r="K132">
            <v>265000</v>
          </cell>
          <cell r="L132">
            <v>0.6</v>
          </cell>
          <cell r="M132" t="str">
            <v>EVET</v>
          </cell>
          <cell r="N132" t="str">
            <v>MERLİN GERİN</v>
          </cell>
          <cell r="P132">
            <v>1131</v>
          </cell>
        </row>
        <row r="133">
          <cell r="C133" t="str">
            <v>725.601</v>
          </cell>
          <cell r="D133" t="str">
            <v>SAYAÇ (Monofaze)</v>
          </cell>
          <cell r="E133" t="str">
            <v>MKE</v>
          </cell>
          <cell r="F133">
            <v>34655</v>
          </cell>
          <cell r="G133" t="str">
            <v>DSH-228</v>
          </cell>
          <cell r="I133" t="str">
            <v>HAYIR</v>
          </cell>
          <cell r="J133" t="str">
            <v>ad</v>
          </cell>
          <cell r="K133">
            <v>450000</v>
          </cell>
          <cell r="L133">
            <v>0.6</v>
          </cell>
          <cell r="M133" t="str">
            <v>EVET</v>
          </cell>
          <cell r="N133" t="str">
            <v>MKE</v>
          </cell>
          <cell r="P133">
            <v>1141</v>
          </cell>
        </row>
        <row r="134">
          <cell r="C134" t="str">
            <v>725.702</v>
          </cell>
          <cell r="D134" t="str">
            <v>SAYAÇ (Trifaze)</v>
          </cell>
          <cell r="E134" t="str">
            <v>MKE</v>
          </cell>
          <cell r="F134">
            <v>34655</v>
          </cell>
          <cell r="G134" t="str">
            <v>DSH-228</v>
          </cell>
          <cell r="I134" t="str">
            <v>HAYIR</v>
          </cell>
          <cell r="J134" t="str">
            <v>ad</v>
          </cell>
          <cell r="K134">
            <v>820000</v>
          </cell>
          <cell r="L134">
            <v>0.6</v>
          </cell>
          <cell r="M134" t="str">
            <v>EVET</v>
          </cell>
          <cell r="N134" t="str">
            <v>MKE</v>
          </cell>
          <cell r="P134">
            <v>1141</v>
          </cell>
        </row>
        <row r="135">
          <cell r="C135" t="str">
            <v>739.101</v>
          </cell>
          <cell r="D135" t="str">
            <v>P.E. BORULAR Ø 20</v>
          </cell>
          <cell r="E135" t="str">
            <v>BERKAN,ZEYBEK</v>
          </cell>
          <cell r="F135">
            <v>34705</v>
          </cell>
          <cell r="G135" t="str">
            <v>DSH-25</v>
          </cell>
          <cell r="I135" t="str">
            <v>HAYIR</v>
          </cell>
          <cell r="J135" t="str">
            <v>mt</v>
          </cell>
          <cell r="K135">
            <v>5850</v>
          </cell>
          <cell r="L135">
            <v>0.6</v>
          </cell>
          <cell r="M135" t="str">
            <v>EVET</v>
          </cell>
          <cell r="N135" t="str">
            <v>BERKAN,ZEYBEK</v>
          </cell>
          <cell r="P135">
            <v>200</v>
          </cell>
        </row>
        <row r="136">
          <cell r="C136" t="str">
            <v>739.101.</v>
          </cell>
          <cell r="D136" t="str">
            <v>P.E. BORULAR Ø 16</v>
          </cell>
          <cell r="E136" t="str">
            <v>BERKAN,ZEYBEK</v>
          </cell>
          <cell r="F136">
            <v>34705</v>
          </cell>
          <cell r="G136" t="str">
            <v>DSH-25</v>
          </cell>
          <cell r="I136" t="str">
            <v>HAYIR</v>
          </cell>
          <cell r="J136" t="str">
            <v>mt</v>
          </cell>
          <cell r="K136">
            <v>5850</v>
          </cell>
          <cell r="L136">
            <v>0.6</v>
          </cell>
          <cell r="M136" t="str">
            <v>EVET</v>
          </cell>
          <cell r="N136" t="str">
            <v>BERKAN,ZEYBEK</v>
          </cell>
          <cell r="P136">
            <v>200</v>
          </cell>
        </row>
        <row r="137">
          <cell r="C137" t="str">
            <v>739.102</v>
          </cell>
          <cell r="D137" t="str">
            <v>P.E. BORULAR Ø 40</v>
          </cell>
          <cell r="E137" t="str">
            <v>BERKAN,ZEYBEK</v>
          </cell>
          <cell r="F137">
            <v>34705</v>
          </cell>
          <cell r="G137" t="str">
            <v>DSH-25</v>
          </cell>
          <cell r="I137" t="str">
            <v>HAYIR</v>
          </cell>
          <cell r="J137" t="str">
            <v>mt</v>
          </cell>
          <cell r="K137">
            <v>9200</v>
          </cell>
          <cell r="L137">
            <v>0.6</v>
          </cell>
          <cell r="M137" t="str">
            <v>EVET</v>
          </cell>
          <cell r="N137" t="str">
            <v>BERKAN,ZEYBEK</v>
          </cell>
          <cell r="P137">
            <v>200</v>
          </cell>
        </row>
        <row r="138">
          <cell r="C138" t="str">
            <v>739.102.</v>
          </cell>
          <cell r="D138" t="str">
            <v>P.E. BORULAR Ø 32</v>
          </cell>
          <cell r="E138" t="str">
            <v>BERKAN,ZEYBEK</v>
          </cell>
          <cell r="F138">
            <v>34705</v>
          </cell>
          <cell r="G138" t="str">
            <v>DSH-25</v>
          </cell>
          <cell r="I138" t="str">
            <v>HAYIR</v>
          </cell>
          <cell r="J138" t="str">
            <v>mt</v>
          </cell>
          <cell r="K138">
            <v>9200</v>
          </cell>
          <cell r="L138">
            <v>0.6</v>
          </cell>
          <cell r="M138" t="str">
            <v>EVET</v>
          </cell>
          <cell r="N138" t="str">
            <v>BERKAN,ZEYBEK</v>
          </cell>
          <cell r="P138">
            <v>200</v>
          </cell>
        </row>
        <row r="139">
          <cell r="C139" t="str">
            <v>780.118</v>
          </cell>
          <cell r="D139" t="str">
            <v>KABLO NYA 1.5 mm²</v>
          </cell>
          <cell r="E139" t="str">
            <v>SURTEL</v>
          </cell>
          <cell r="F139">
            <v>34687</v>
          </cell>
          <cell r="G139" t="str">
            <v>DSH-332</v>
          </cell>
          <cell r="I139" t="str">
            <v>HAYIR</v>
          </cell>
          <cell r="J139" t="str">
            <v>mt</v>
          </cell>
          <cell r="K139">
            <v>3080</v>
          </cell>
          <cell r="L139">
            <v>0.6</v>
          </cell>
          <cell r="M139" t="str">
            <v>EVET</v>
          </cell>
          <cell r="N139" t="str">
            <v>SURTEL</v>
          </cell>
          <cell r="P139">
            <v>200</v>
          </cell>
        </row>
        <row r="140">
          <cell r="C140" t="str">
            <v>780.119</v>
          </cell>
          <cell r="D140" t="str">
            <v>KABLO NYA 2.5 mm²</v>
          </cell>
          <cell r="E140" t="str">
            <v>SURTEL</v>
          </cell>
          <cell r="F140">
            <v>34687</v>
          </cell>
          <cell r="G140" t="str">
            <v>DSH-332</v>
          </cell>
          <cell r="I140" t="str">
            <v>HAYIR</v>
          </cell>
          <cell r="J140" t="str">
            <v>mt</v>
          </cell>
          <cell r="K140">
            <v>3900</v>
          </cell>
          <cell r="L140">
            <v>0.6</v>
          </cell>
          <cell r="M140" t="str">
            <v>EVET</v>
          </cell>
          <cell r="N140" t="str">
            <v>SURTEL</v>
          </cell>
          <cell r="P140">
            <v>200</v>
          </cell>
        </row>
        <row r="141">
          <cell r="C141" t="str">
            <v>780.127</v>
          </cell>
          <cell r="D141" t="str">
            <v>BUAT KASASI</v>
          </cell>
          <cell r="E141" t="str">
            <v>ÇETSAN</v>
          </cell>
          <cell r="F141">
            <v>34655</v>
          </cell>
          <cell r="G141" t="str">
            <v>DSH-228</v>
          </cell>
          <cell r="I141" t="str">
            <v>HAYIR</v>
          </cell>
          <cell r="J141" t="str">
            <v>ad</v>
          </cell>
          <cell r="K141">
            <v>8000</v>
          </cell>
          <cell r="L141">
            <v>0.6</v>
          </cell>
          <cell r="M141" t="str">
            <v>EVET</v>
          </cell>
          <cell r="N141" t="str">
            <v>ÇETSAN</v>
          </cell>
          <cell r="P141">
            <v>1131</v>
          </cell>
        </row>
        <row r="142">
          <cell r="C142" t="str">
            <v>780.127.</v>
          </cell>
          <cell r="D142" t="str">
            <v>ANAHTAR  KASASI</v>
          </cell>
          <cell r="E142" t="str">
            <v>ÇETSAN</v>
          </cell>
          <cell r="F142">
            <v>34655</v>
          </cell>
          <cell r="G142" t="str">
            <v>DSH-228</v>
          </cell>
          <cell r="I142" t="str">
            <v>HAYIR</v>
          </cell>
          <cell r="J142" t="str">
            <v>ad</v>
          </cell>
          <cell r="K142">
            <v>8000</v>
          </cell>
          <cell r="L142">
            <v>0.6</v>
          </cell>
          <cell r="M142" t="str">
            <v>EVET</v>
          </cell>
          <cell r="N142" t="str">
            <v>ÇETSAN</v>
          </cell>
          <cell r="P142">
            <v>1131</v>
          </cell>
        </row>
        <row r="143">
          <cell r="C143" t="str">
            <v>780.148</v>
          </cell>
          <cell r="D143" t="str">
            <v>NORMAL AMPUL</v>
          </cell>
          <cell r="E143" t="str">
            <v>PHILIPS,EDİSON,GEN.ELK.</v>
          </cell>
          <cell r="F143">
            <v>34708</v>
          </cell>
          <cell r="G143" t="str">
            <v>DSH-30</v>
          </cell>
          <cell r="I143" t="str">
            <v>HAYIR</v>
          </cell>
          <cell r="J143" t="str">
            <v>ad</v>
          </cell>
          <cell r="K143">
            <v>8750</v>
          </cell>
          <cell r="L143">
            <v>0.6</v>
          </cell>
          <cell r="M143" t="str">
            <v>EVET</v>
          </cell>
          <cell r="N143" t="str">
            <v>PHILIPS,EDİSON,GEN.ELK.</v>
          </cell>
        </row>
        <row r="144">
          <cell r="C144" t="str">
            <v>814.102</v>
          </cell>
          <cell r="D144" t="str">
            <v>KAPI OTOMATİĞİ</v>
          </cell>
          <cell r="E144" t="str">
            <v>NADE</v>
          </cell>
          <cell r="F144">
            <v>34655</v>
          </cell>
          <cell r="G144" t="str">
            <v>DSH-228</v>
          </cell>
          <cell r="I144" t="str">
            <v>HAYIR</v>
          </cell>
          <cell r="J144" t="str">
            <v>ad</v>
          </cell>
          <cell r="K144">
            <v>81000</v>
          </cell>
          <cell r="L144">
            <v>0.6</v>
          </cell>
          <cell r="M144" t="str">
            <v>EVET</v>
          </cell>
          <cell r="N144" t="str">
            <v>NADE</v>
          </cell>
          <cell r="P144">
            <v>1421</v>
          </cell>
        </row>
        <row r="145">
          <cell r="C145" t="str">
            <v>815.101</v>
          </cell>
          <cell r="D145" t="str">
            <v>TELEFON TESİSAT SORTİSİ</v>
          </cell>
          <cell r="E145" t="str">
            <v>KLAS,TÜRK KABLO</v>
          </cell>
          <cell r="F145">
            <v>34695</v>
          </cell>
          <cell r="G145" t="str">
            <v>DSH-384</v>
          </cell>
          <cell r="I145" t="str">
            <v>HAYIR</v>
          </cell>
          <cell r="J145" t="str">
            <v>ad</v>
          </cell>
          <cell r="K145">
            <v>155000</v>
          </cell>
          <cell r="L145">
            <v>0.6</v>
          </cell>
          <cell r="M145" t="str">
            <v>EVET</v>
          </cell>
          <cell r="N145" t="str">
            <v>KLAS,TÜRK KABLO</v>
          </cell>
          <cell r="P145">
            <v>1631</v>
          </cell>
        </row>
        <row r="146">
          <cell r="C146" t="str">
            <v>818.101</v>
          </cell>
          <cell r="D146" t="str">
            <v>TELEFON KABLOSU</v>
          </cell>
          <cell r="E146" t="str">
            <v>KLAS,TÜRK KABLO</v>
          </cell>
          <cell r="F146">
            <v>34695</v>
          </cell>
          <cell r="G146" t="str">
            <v>DSH-384</v>
          </cell>
          <cell r="I146" t="str">
            <v>HAYIR</v>
          </cell>
          <cell r="J146" t="str">
            <v>mt</v>
          </cell>
          <cell r="K146">
            <v>9700</v>
          </cell>
          <cell r="L146">
            <v>0.6</v>
          </cell>
          <cell r="M146" t="str">
            <v>EVET</v>
          </cell>
          <cell r="N146" t="str">
            <v>KLAS,TÜRK KABLO</v>
          </cell>
          <cell r="P146">
            <v>1631</v>
          </cell>
        </row>
        <row r="147">
          <cell r="C147" t="str">
            <v>818.105</v>
          </cell>
          <cell r="D147" t="str">
            <v>ZİL TELİ</v>
          </cell>
          <cell r="E147" t="str">
            <v>KLAS,TÜRK KABLO</v>
          </cell>
          <cell r="F147">
            <v>34695</v>
          </cell>
          <cell r="G147" t="str">
            <v>DSH-384</v>
          </cell>
          <cell r="I147" t="str">
            <v>HAYIR</v>
          </cell>
          <cell r="J147" t="str">
            <v>mt</v>
          </cell>
          <cell r="K147">
            <v>4950</v>
          </cell>
          <cell r="L147">
            <v>0.6</v>
          </cell>
          <cell r="M147" t="str">
            <v>EVET</v>
          </cell>
          <cell r="N147" t="str">
            <v>KLAS,TÜRK KABLO</v>
          </cell>
        </row>
        <row r="148">
          <cell r="C148" t="str">
            <v>845.107</v>
          </cell>
          <cell r="D148" t="str">
            <v>TV ANTENİ</v>
          </cell>
          <cell r="E148" t="str">
            <v>YURT</v>
          </cell>
          <cell r="F148">
            <v>34655</v>
          </cell>
          <cell r="G148" t="str">
            <v>DSH-228</v>
          </cell>
          <cell r="I148" t="str">
            <v>HAYIR</v>
          </cell>
          <cell r="J148" t="str">
            <v>ad</v>
          </cell>
          <cell r="K148">
            <v>300000</v>
          </cell>
          <cell r="L148">
            <v>0.6</v>
          </cell>
          <cell r="M148" t="str">
            <v>EVET</v>
          </cell>
          <cell r="N148" t="str">
            <v>YURT</v>
          </cell>
          <cell r="P148">
            <v>1611</v>
          </cell>
        </row>
        <row r="149">
          <cell r="C149" t="str">
            <v>M AKS./1A-1</v>
          </cell>
          <cell r="D149" t="str">
            <v>KAPI KİLİTLERİ (gömme iç kapı kl.)</v>
          </cell>
          <cell r="E149" t="str">
            <v>KALE</v>
          </cell>
          <cell r="F149">
            <v>34683</v>
          </cell>
          <cell r="G149" t="str">
            <v>DSH-312</v>
          </cell>
          <cell r="I149" t="str">
            <v>HAYIR</v>
          </cell>
          <cell r="J149" t="str">
            <v>ad</v>
          </cell>
          <cell r="K149">
            <v>49500</v>
          </cell>
          <cell r="L149">
            <v>1</v>
          </cell>
          <cell r="M149" t="str">
            <v>EVET</v>
          </cell>
          <cell r="N149" t="str">
            <v>KALE</v>
          </cell>
          <cell r="P149">
            <v>531</v>
          </cell>
        </row>
        <row r="150">
          <cell r="C150" t="str">
            <v>M AKS/4A-2</v>
          </cell>
          <cell r="D150" t="str">
            <v>KAPI KİLİTLERİ (dış kapı kilidi)</v>
          </cell>
          <cell r="E150" t="str">
            <v>KALE</v>
          </cell>
          <cell r="F150">
            <v>34683</v>
          </cell>
          <cell r="G150" t="str">
            <v>DSH-312</v>
          </cell>
          <cell r="I150" t="str">
            <v>HAYIR</v>
          </cell>
          <cell r="J150" t="str">
            <v>ad</v>
          </cell>
          <cell r="K150">
            <v>162500</v>
          </cell>
          <cell r="L150">
            <v>1</v>
          </cell>
          <cell r="M150" t="str">
            <v>EVET</v>
          </cell>
          <cell r="N150" t="str">
            <v>KALE</v>
          </cell>
          <cell r="P150">
            <v>531</v>
          </cell>
        </row>
        <row r="151">
          <cell r="C151" t="str">
            <v>412-108</v>
          </cell>
          <cell r="D151" t="str">
            <v>YAĞ YAKIT DEPOSU</v>
          </cell>
          <cell r="E151" t="str">
            <v>KIŞLA</v>
          </cell>
          <cell r="F151">
            <v>34877</v>
          </cell>
          <cell r="G151" t="str">
            <v>DSH-532/95</v>
          </cell>
          <cell r="I151" t="str">
            <v>HAYIR</v>
          </cell>
          <cell r="J151" t="str">
            <v>ad.</v>
          </cell>
          <cell r="K151">
            <v>48100000</v>
          </cell>
          <cell r="L151">
            <v>0.6</v>
          </cell>
          <cell r="M151" t="str">
            <v>EVET</v>
          </cell>
          <cell r="N151" t="str">
            <v>KIŞLA</v>
          </cell>
        </row>
        <row r="152">
          <cell r="C152" t="str">
            <v>173.102</v>
          </cell>
          <cell r="D152" t="str">
            <v>KOLLEKTÖR BORUSU 80 mm</v>
          </cell>
          <cell r="E152" t="str">
            <v>MANNESMAN</v>
          </cell>
          <cell r="F152">
            <v>34633</v>
          </cell>
          <cell r="G152" t="str">
            <v>DSH-114</v>
          </cell>
          <cell r="I152" t="str">
            <v>HAYIR</v>
          </cell>
          <cell r="J152" t="str">
            <v>mt</v>
          </cell>
          <cell r="K152">
            <v>190000</v>
          </cell>
          <cell r="L152">
            <v>0.6</v>
          </cell>
          <cell r="M152" t="str">
            <v>EVET</v>
          </cell>
          <cell r="N152" t="str">
            <v>MANNESMAN</v>
          </cell>
          <cell r="P152">
            <v>1036</v>
          </cell>
        </row>
        <row r="153">
          <cell r="C153" t="str">
            <v>173.103</v>
          </cell>
          <cell r="D153" t="str">
            <v>KOLLEKTÖR BORUSU 108 mm</v>
          </cell>
          <cell r="E153" t="str">
            <v>MANNESMAN</v>
          </cell>
          <cell r="F153">
            <v>34633</v>
          </cell>
          <cell r="G153" t="str">
            <v>DSH-114</v>
          </cell>
          <cell r="I153" t="str">
            <v>HAYIR</v>
          </cell>
          <cell r="J153" t="str">
            <v>mt</v>
          </cell>
          <cell r="K153">
            <v>260000</v>
          </cell>
          <cell r="L153">
            <v>0.6</v>
          </cell>
          <cell r="M153" t="str">
            <v>EVET</v>
          </cell>
          <cell r="N153" t="str">
            <v>MANNESMAN</v>
          </cell>
          <cell r="P153">
            <v>1036</v>
          </cell>
        </row>
        <row r="154">
          <cell r="C154" t="str">
            <v>173.104</v>
          </cell>
          <cell r="D154" t="str">
            <v>KOLLEKTÖR BORUSU 133 mm</v>
          </cell>
          <cell r="E154" t="str">
            <v>MANNESMAN</v>
          </cell>
          <cell r="F154">
            <v>34633</v>
          </cell>
          <cell r="G154" t="str">
            <v>DSH-114</v>
          </cell>
          <cell r="I154" t="str">
            <v>HAYIR</v>
          </cell>
          <cell r="J154" t="str">
            <v>mt</v>
          </cell>
          <cell r="K154">
            <v>370000</v>
          </cell>
          <cell r="L154">
            <v>0.6</v>
          </cell>
          <cell r="M154" t="str">
            <v>EVET</v>
          </cell>
          <cell r="N154" t="str">
            <v>MANNESMAN</v>
          </cell>
          <cell r="P154">
            <v>1036</v>
          </cell>
        </row>
        <row r="155">
          <cell r="C155" t="str">
            <v>173.105</v>
          </cell>
          <cell r="D155" t="str">
            <v>KOLLEKTÖR BORUSU 150 mm</v>
          </cell>
          <cell r="E155" t="str">
            <v>MANNESMAN</v>
          </cell>
          <cell r="F155">
            <v>34633</v>
          </cell>
          <cell r="G155" t="str">
            <v>DSH-114</v>
          </cell>
          <cell r="I155" t="str">
            <v>HAYIR</v>
          </cell>
          <cell r="J155" t="str">
            <v>mt</v>
          </cell>
          <cell r="K155">
            <v>420000</v>
          </cell>
          <cell r="L155">
            <v>0.6</v>
          </cell>
          <cell r="M155" t="str">
            <v>EVET</v>
          </cell>
          <cell r="N155" t="str">
            <v>MANNESMAN</v>
          </cell>
          <cell r="P155">
            <v>1036</v>
          </cell>
        </row>
        <row r="156">
          <cell r="C156" t="str">
            <v>173.301</v>
          </cell>
          <cell r="D156" t="str">
            <v>KOLLEKTÖR AĞZI 15 mm</v>
          </cell>
          <cell r="E156" t="str">
            <v>MANNESMAN</v>
          </cell>
          <cell r="F156">
            <v>34633</v>
          </cell>
          <cell r="G156" t="str">
            <v>DSH-114</v>
          </cell>
          <cell r="I156" t="str">
            <v>HAYIR</v>
          </cell>
          <cell r="J156" t="str">
            <v>ad</v>
          </cell>
          <cell r="K156">
            <v>30000</v>
          </cell>
          <cell r="L156">
            <v>0.4</v>
          </cell>
          <cell r="M156" t="str">
            <v>EVET</v>
          </cell>
          <cell r="N156" t="str">
            <v>MANNESMAN</v>
          </cell>
          <cell r="P156">
            <v>1036</v>
          </cell>
        </row>
        <row r="157">
          <cell r="C157" t="str">
            <v>173.302</v>
          </cell>
          <cell r="D157" t="str">
            <v>KOLLEKTÖR AĞZI 20 mm</v>
          </cell>
          <cell r="E157" t="str">
            <v>MANNESMAN</v>
          </cell>
          <cell r="F157">
            <v>34633</v>
          </cell>
          <cell r="G157" t="str">
            <v>DSH-114</v>
          </cell>
          <cell r="I157" t="str">
            <v>HAYIR</v>
          </cell>
          <cell r="J157" t="str">
            <v>ad</v>
          </cell>
          <cell r="K157">
            <v>37000</v>
          </cell>
          <cell r="L157">
            <v>0.4</v>
          </cell>
          <cell r="M157" t="str">
            <v>EVET</v>
          </cell>
          <cell r="N157" t="str">
            <v>MANNESMAN</v>
          </cell>
          <cell r="P157">
            <v>1036</v>
          </cell>
        </row>
        <row r="158">
          <cell r="C158" t="str">
            <v>173.304</v>
          </cell>
          <cell r="D158" t="str">
            <v>KOLLEKTÖR AĞZI 32 mm</v>
          </cell>
          <cell r="E158" t="str">
            <v>MANNESMAN</v>
          </cell>
          <cell r="F158">
            <v>34633</v>
          </cell>
          <cell r="G158" t="str">
            <v>DSH-114</v>
          </cell>
          <cell r="I158" t="str">
            <v>HAYIR</v>
          </cell>
          <cell r="J158" t="str">
            <v>ad</v>
          </cell>
          <cell r="K158">
            <v>48000</v>
          </cell>
          <cell r="L158">
            <v>0.4</v>
          </cell>
          <cell r="M158" t="str">
            <v>EVET</v>
          </cell>
          <cell r="N158" t="str">
            <v>MANNESMAN</v>
          </cell>
          <cell r="P158">
            <v>1036</v>
          </cell>
        </row>
        <row r="159">
          <cell r="C159" t="str">
            <v>173.305</v>
          </cell>
          <cell r="D159" t="str">
            <v>KOLLEKTÖR AĞZI 40 mm</v>
          </cell>
          <cell r="E159" t="str">
            <v>MANNESMAN</v>
          </cell>
          <cell r="F159">
            <v>34633</v>
          </cell>
          <cell r="G159" t="str">
            <v>DSH-114</v>
          </cell>
          <cell r="I159" t="str">
            <v>HAYIR</v>
          </cell>
          <cell r="J159" t="str">
            <v>ad</v>
          </cell>
          <cell r="K159">
            <v>51000</v>
          </cell>
          <cell r="L159">
            <v>0.4</v>
          </cell>
          <cell r="M159" t="str">
            <v>EVET</v>
          </cell>
          <cell r="N159" t="str">
            <v>MANNESMAN</v>
          </cell>
          <cell r="P159">
            <v>1036</v>
          </cell>
        </row>
        <row r="160">
          <cell r="C160" t="str">
            <v>173.306</v>
          </cell>
          <cell r="D160" t="str">
            <v>KOLLEKTÖR AĞZI 50 mm</v>
          </cell>
          <cell r="E160" t="str">
            <v>MANNESMAN</v>
          </cell>
          <cell r="F160">
            <v>34633</v>
          </cell>
          <cell r="G160" t="str">
            <v>DSH-114</v>
          </cell>
          <cell r="I160" t="str">
            <v>HAYIR</v>
          </cell>
          <cell r="J160" t="str">
            <v>ad</v>
          </cell>
          <cell r="K160">
            <v>58000</v>
          </cell>
          <cell r="L160">
            <v>0.4</v>
          </cell>
          <cell r="M160" t="str">
            <v>EVET</v>
          </cell>
          <cell r="N160" t="str">
            <v>MANNESMAN</v>
          </cell>
          <cell r="P160">
            <v>1036</v>
          </cell>
        </row>
        <row r="161">
          <cell r="C161" t="str">
            <v>173.307</v>
          </cell>
          <cell r="D161" t="str">
            <v>KOLLEKTÖR AĞZI 65 mm</v>
          </cell>
          <cell r="E161" t="str">
            <v>MANNESMAN</v>
          </cell>
          <cell r="F161">
            <v>34633</v>
          </cell>
          <cell r="G161" t="str">
            <v>DSH-114</v>
          </cell>
          <cell r="I161" t="str">
            <v>HAYIR</v>
          </cell>
          <cell r="J161" t="str">
            <v>ad</v>
          </cell>
          <cell r="K161">
            <v>70000</v>
          </cell>
          <cell r="L161">
            <v>0.4</v>
          </cell>
          <cell r="M161" t="str">
            <v>EVET</v>
          </cell>
          <cell r="N161" t="str">
            <v>MANNESMAN</v>
          </cell>
          <cell r="P161">
            <v>1036</v>
          </cell>
        </row>
        <row r="162">
          <cell r="C162" t="str">
            <v>173.308</v>
          </cell>
          <cell r="D162" t="str">
            <v>KOLLEKTÖR AĞZI 80 mm</v>
          </cell>
          <cell r="E162" t="str">
            <v>MANNESMAN</v>
          </cell>
          <cell r="F162">
            <v>34633</v>
          </cell>
          <cell r="G162" t="str">
            <v>DSH-114</v>
          </cell>
          <cell r="I162" t="str">
            <v>HAYIR</v>
          </cell>
          <cell r="J162" t="str">
            <v>ad</v>
          </cell>
          <cell r="K162">
            <v>85000</v>
          </cell>
          <cell r="L162">
            <v>0.4</v>
          </cell>
          <cell r="M162" t="str">
            <v>EVET</v>
          </cell>
          <cell r="N162" t="str">
            <v>MANNESMAN</v>
          </cell>
          <cell r="P162">
            <v>1036</v>
          </cell>
        </row>
        <row r="163">
          <cell r="C163" t="str">
            <v>173.309</v>
          </cell>
          <cell r="D163" t="str">
            <v>KOLLEKTÖR AĞZI 100 mm</v>
          </cell>
          <cell r="E163" t="str">
            <v>MANNESMAN</v>
          </cell>
          <cell r="F163">
            <v>34633</v>
          </cell>
          <cell r="G163" t="str">
            <v>DSH-114</v>
          </cell>
          <cell r="I163" t="str">
            <v>HAYIR</v>
          </cell>
          <cell r="J163" t="str">
            <v>ad</v>
          </cell>
          <cell r="K163">
            <v>100000</v>
          </cell>
          <cell r="L163">
            <v>0.4</v>
          </cell>
          <cell r="M163" t="str">
            <v>EVET</v>
          </cell>
          <cell r="N163" t="str">
            <v>MANNESMAN</v>
          </cell>
          <cell r="P163">
            <v>1036</v>
          </cell>
        </row>
        <row r="164">
          <cell r="C164" t="str">
            <v>207.401</v>
          </cell>
          <cell r="D164" t="str">
            <v>SÜRGÜLÜ VANA ND 10 40 mm</v>
          </cell>
          <cell r="E164" t="str">
            <v>VİS</v>
          </cell>
          <cell r="F164">
            <v>34898</v>
          </cell>
          <cell r="G164" t="str">
            <v>DSH-627/95</v>
          </cell>
          <cell r="I164" t="str">
            <v>HAYIR</v>
          </cell>
          <cell r="J164" t="str">
            <v>ad</v>
          </cell>
          <cell r="K164">
            <v>680000</v>
          </cell>
          <cell r="L164">
            <v>0.8</v>
          </cell>
          <cell r="M164" t="str">
            <v>EVET</v>
          </cell>
          <cell r="N164" t="str">
            <v>VİS</v>
          </cell>
          <cell r="P164">
            <v>1036</v>
          </cell>
        </row>
        <row r="165">
          <cell r="C165" t="str">
            <v>207.402</v>
          </cell>
          <cell r="D165" t="str">
            <v>SÜRGÜLÜ VANA ND 10 50 mm</v>
          </cell>
          <cell r="E165" t="str">
            <v>VİS</v>
          </cell>
          <cell r="F165">
            <v>34898</v>
          </cell>
          <cell r="G165" t="str">
            <v>DSH-627/95</v>
          </cell>
          <cell r="I165" t="str">
            <v>HAYIR</v>
          </cell>
          <cell r="J165" t="str">
            <v>ad</v>
          </cell>
          <cell r="K165">
            <v>750000</v>
          </cell>
          <cell r="L165">
            <v>0.8</v>
          </cell>
          <cell r="M165" t="str">
            <v>EVET</v>
          </cell>
          <cell r="N165" t="str">
            <v>VİS</v>
          </cell>
          <cell r="P165">
            <v>1036</v>
          </cell>
        </row>
        <row r="166">
          <cell r="C166" t="str">
            <v>207.403</v>
          </cell>
          <cell r="D166" t="str">
            <v>SÜRGÜLÜ VANA ND 10 65 mm</v>
          </cell>
          <cell r="E166" t="str">
            <v>VİS</v>
          </cell>
          <cell r="F166">
            <v>34898</v>
          </cell>
          <cell r="G166" t="str">
            <v>DSH-627/95</v>
          </cell>
          <cell r="I166" t="str">
            <v>HAYIR</v>
          </cell>
          <cell r="J166" t="str">
            <v>ad</v>
          </cell>
          <cell r="K166">
            <v>980000</v>
          </cell>
          <cell r="L166">
            <v>0.8</v>
          </cell>
          <cell r="M166" t="str">
            <v>EVET</v>
          </cell>
          <cell r="N166" t="str">
            <v>VİS</v>
          </cell>
          <cell r="P166">
            <v>1036</v>
          </cell>
        </row>
        <row r="167">
          <cell r="C167" t="str">
            <v>207.404</v>
          </cell>
          <cell r="D167" t="str">
            <v>SÜRGÜLÜ VANA ND 10 80 mm</v>
          </cell>
          <cell r="E167" t="str">
            <v>VİS</v>
          </cell>
          <cell r="F167">
            <v>34898</v>
          </cell>
          <cell r="G167" t="str">
            <v>DSH-627/95</v>
          </cell>
          <cell r="I167" t="str">
            <v>HAYIR</v>
          </cell>
          <cell r="J167" t="str">
            <v>ad</v>
          </cell>
          <cell r="K167">
            <v>1150000</v>
          </cell>
          <cell r="L167">
            <v>0.8</v>
          </cell>
          <cell r="M167" t="str">
            <v>EVET</v>
          </cell>
          <cell r="N167" t="str">
            <v>VİS</v>
          </cell>
          <cell r="P167">
            <v>1036</v>
          </cell>
        </row>
        <row r="168">
          <cell r="C168" t="str">
            <v>207.405</v>
          </cell>
          <cell r="D168" t="str">
            <v>SÜRGÜLÜ VANA ND 10 100 mm</v>
          </cell>
          <cell r="E168" t="str">
            <v>VİS</v>
          </cell>
          <cell r="F168">
            <v>34898</v>
          </cell>
          <cell r="G168" t="str">
            <v>DSH-627/95</v>
          </cell>
          <cell r="I168" t="str">
            <v>HAYIR</v>
          </cell>
          <cell r="J168" t="str">
            <v>ad</v>
          </cell>
          <cell r="K168">
            <v>1480000</v>
          </cell>
          <cell r="L168">
            <v>0.8</v>
          </cell>
          <cell r="M168" t="str">
            <v>EVET</v>
          </cell>
          <cell r="N168" t="str">
            <v>VİS</v>
          </cell>
          <cell r="P168">
            <v>1036</v>
          </cell>
        </row>
        <row r="169">
          <cell r="C169" t="str">
            <v>221.207</v>
          </cell>
          <cell r="D169" t="str">
            <v>PİSLİK TUTUCU 65 mm</v>
          </cell>
          <cell r="E169" t="str">
            <v>VİS</v>
          </cell>
          <cell r="F169">
            <v>34855</v>
          </cell>
          <cell r="G169" t="str">
            <v>DSH-460</v>
          </cell>
          <cell r="I169" t="str">
            <v>HAYIR</v>
          </cell>
          <cell r="J169" t="str">
            <v>ad</v>
          </cell>
          <cell r="K169">
            <v>1640000</v>
          </cell>
          <cell r="L169">
            <v>0.8</v>
          </cell>
          <cell r="M169" t="str">
            <v>EVET</v>
          </cell>
          <cell r="N169" t="str">
            <v>VİS</v>
          </cell>
          <cell r="P169">
            <v>1036</v>
          </cell>
        </row>
        <row r="170">
          <cell r="C170" t="str">
            <v>221.208</v>
          </cell>
          <cell r="D170" t="str">
            <v>PİSLİK TUTUCU 80 mm</v>
          </cell>
          <cell r="E170" t="str">
            <v>VİS</v>
          </cell>
          <cell r="F170">
            <v>34855</v>
          </cell>
          <cell r="G170" t="str">
            <v>DSH-460</v>
          </cell>
          <cell r="I170" t="str">
            <v>HAYIR</v>
          </cell>
          <cell r="J170" t="str">
            <v>ad</v>
          </cell>
          <cell r="K170">
            <v>2140000</v>
          </cell>
          <cell r="L170">
            <v>0.8</v>
          </cell>
          <cell r="M170" t="str">
            <v>EVET</v>
          </cell>
          <cell r="N170" t="str">
            <v>VİS</v>
          </cell>
          <cell r="P170">
            <v>1036</v>
          </cell>
        </row>
        <row r="171">
          <cell r="C171" t="str">
            <v>228.107</v>
          </cell>
          <cell r="D171" t="str">
            <v>GERİ TEPME VENTİLİ 65 mm</v>
          </cell>
          <cell r="E171" t="str">
            <v>VİS</v>
          </cell>
          <cell r="F171">
            <v>34898</v>
          </cell>
          <cell r="G171" t="str">
            <v>DSH-627/95</v>
          </cell>
          <cell r="I171" t="str">
            <v>HAYIR</v>
          </cell>
          <cell r="J171" t="str">
            <v>ad</v>
          </cell>
          <cell r="K171">
            <v>1150000</v>
          </cell>
          <cell r="L171">
            <v>0.8</v>
          </cell>
          <cell r="M171" t="str">
            <v>EVET</v>
          </cell>
          <cell r="N171" t="str">
            <v>VİS</v>
          </cell>
          <cell r="P171">
            <v>1036</v>
          </cell>
        </row>
        <row r="172">
          <cell r="C172" t="str">
            <v>228.108</v>
          </cell>
          <cell r="D172" t="str">
            <v>GERİ TEPME VENTİLİ 80 mm</v>
          </cell>
          <cell r="E172" t="str">
            <v>VİS</v>
          </cell>
          <cell r="F172">
            <v>34898</v>
          </cell>
          <cell r="G172" t="str">
            <v>DSH-627/95</v>
          </cell>
          <cell r="I172" t="str">
            <v>HAYIR</v>
          </cell>
          <cell r="J172" t="str">
            <v>ad</v>
          </cell>
          <cell r="K172">
            <v>1600000</v>
          </cell>
          <cell r="L172">
            <v>0.8</v>
          </cell>
          <cell r="M172" t="str">
            <v>EVET</v>
          </cell>
          <cell r="N172" t="str">
            <v>VİS</v>
          </cell>
          <cell r="P172">
            <v>1036</v>
          </cell>
        </row>
        <row r="173">
          <cell r="C173" t="str">
            <v>401.102</v>
          </cell>
          <cell r="D173" t="str">
            <v>YAĞ FİLİTRESİ 1/2"</v>
          </cell>
        </row>
        <row r="174">
          <cell r="C174" t="str">
            <v>401.107</v>
          </cell>
          <cell r="D174" t="str">
            <v>YAĞ FİLİTRESİ 2"</v>
          </cell>
        </row>
        <row r="175">
          <cell r="C175" t="str">
            <v>412.503</v>
          </cell>
          <cell r="D175" t="str">
            <v>ISITICILI GÜNLÜK YAKIT DEP.50 lt</v>
          </cell>
        </row>
        <row r="176">
          <cell r="C176" t="str">
            <v>301.303</v>
          </cell>
          <cell r="D176" t="str">
            <v>DALDIRMA TERMOSTATI 100 C</v>
          </cell>
          <cell r="E176" t="str">
            <v>SAUTER</v>
          </cell>
          <cell r="F176">
            <v>34921</v>
          </cell>
          <cell r="G176" t="str">
            <v>DSH-694/95</v>
          </cell>
          <cell r="I176" t="str">
            <v>HAYIR</v>
          </cell>
          <cell r="J176" t="str">
            <v>ad</v>
          </cell>
          <cell r="K176">
            <v>940000</v>
          </cell>
          <cell r="L176">
            <v>0.7</v>
          </cell>
          <cell r="M176" t="str">
            <v>EVET</v>
          </cell>
          <cell r="N176" t="str">
            <v>SAUTER</v>
          </cell>
        </row>
        <row r="177">
          <cell r="C177" t="str">
            <v>315.104</v>
          </cell>
          <cell r="D177" t="str">
            <v>DALDIRMA TİP DUYAR ELEMANI</v>
          </cell>
          <cell r="E177" t="str">
            <v>SAUTER</v>
          </cell>
          <cell r="F177">
            <v>34921</v>
          </cell>
          <cell r="G177" t="str">
            <v>DSH-694/95</v>
          </cell>
          <cell r="I177" t="str">
            <v>HAYIR</v>
          </cell>
          <cell r="J177" t="str">
            <v>ad</v>
          </cell>
          <cell r="K177">
            <v>2390000</v>
          </cell>
          <cell r="L177">
            <v>0.7</v>
          </cell>
          <cell r="M177" t="str">
            <v>EVET</v>
          </cell>
          <cell r="N177" t="str">
            <v>SAUTER</v>
          </cell>
        </row>
        <row r="178">
          <cell r="C178" t="str">
            <v>315.105</v>
          </cell>
          <cell r="D178" t="str">
            <v>DIŞ HAVA TİP DUYAR ELEMANI</v>
          </cell>
          <cell r="E178" t="str">
            <v>SAUTER</v>
          </cell>
          <cell r="F178">
            <v>34921</v>
          </cell>
          <cell r="G178" t="str">
            <v>DSH-694/95</v>
          </cell>
          <cell r="I178" t="str">
            <v>HAYIR</v>
          </cell>
          <cell r="J178" t="str">
            <v>ad</v>
          </cell>
          <cell r="K178">
            <v>1230000</v>
          </cell>
          <cell r="L178">
            <v>0.7</v>
          </cell>
          <cell r="M178" t="str">
            <v>EVET</v>
          </cell>
          <cell r="N178" t="str">
            <v>SAUTER</v>
          </cell>
        </row>
        <row r="179">
          <cell r="C179" t="str">
            <v>317.200</v>
          </cell>
          <cell r="D179" t="str">
            <v>ELEKTR.SICAK SU KONT.PANELİ</v>
          </cell>
          <cell r="E179" t="str">
            <v>SAUTER</v>
          </cell>
          <cell r="F179">
            <v>34921</v>
          </cell>
          <cell r="G179" t="str">
            <v>DSH-694/95</v>
          </cell>
          <cell r="I179" t="str">
            <v>HAYIR</v>
          </cell>
          <cell r="J179" t="str">
            <v>ad</v>
          </cell>
          <cell r="K179">
            <v>9900000</v>
          </cell>
          <cell r="L179">
            <v>0.7</v>
          </cell>
          <cell r="M179" t="str">
            <v>EVET</v>
          </cell>
          <cell r="N179" t="str">
            <v>SAUTER</v>
          </cell>
        </row>
        <row r="180">
          <cell r="C180" t="str">
            <v>318.100</v>
          </cell>
          <cell r="D180" t="str">
            <v>GÜNLÜK PROGRAM İLAVESİ</v>
          </cell>
          <cell r="E180" t="str">
            <v>SAUTER</v>
          </cell>
          <cell r="F180">
            <v>34921</v>
          </cell>
          <cell r="G180" t="str">
            <v>DSH-694/95</v>
          </cell>
          <cell r="I180" t="str">
            <v>HAYIR</v>
          </cell>
          <cell r="J180" t="str">
            <v>ad</v>
          </cell>
          <cell r="K180">
            <v>1650000</v>
          </cell>
          <cell r="L180">
            <v>0.7</v>
          </cell>
          <cell r="M180" t="str">
            <v>EVET</v>
          </cell>
          <cell r="N180" t="str">
            <v>SAUTER</v>
          </cell>
        </row>
        <row r="181">
          <cell r="C181" t="str">
            <v>318.200</v>
          </cell>
          <cell r="D181" t="str">
            <v>HAFTALIK PROGRAM İLAVESİ</v>
          </cell>
          <cell r="E181" t="str">
            <v>SAUTER</v>
          </cell>
          <cell r="F181">
            <v>34921</v>
          </cell>
          <cell r="G181" t="str">
            <v>DSH-694/95</v>
          </cell>
          <cell r="I181" t="str">
            <v>HAYIR</v>
          </cell>
          <cell r="J181" t="str">
            <v>ad</v>
          </cell>
          <cell r="K181">
            <v>1800000</v>
          </cell>
          <cell r="L181">
            <v>0.7</v>
          </cell>
          <cell r="M181" t="str">
            <v>EVET</v>
          </cell>
          <cell r="N181" t="str">
            <v>SAUTER</v>
          </cell>
        </row>
        <row r="182">
          <cell r="C182" t="str">
            <v>318.300</v>
          </cell>
          <cell r="D182" t="str">
            <v>ELEK.KESİL.DEVAM.ETM.SAĞL.</v>
          </cell>
          <cell r="E182" t="str">
            <v>SAUTER</v>
          </cell>
          <cell r="F182">
            <v>34921</v>
          </cell>
          <cell r="G182" t="str">
            <v>DSH-694/95</v>
          </cell>
          <cell r="I182" t="str">
            <v>HAYIR</v>
          </cell>
          <cell r="J182" t="str">
            <v>ad</v>
          </cell>
          <cell r="K182">
            <v>650000</v>
          </cell>
          <cell r="L182">
            <v>0.7</v>
          </cell>
          <cell r="M182" t="str">
            <v>EVET</v>
          </cell>
          <cell r="N182" t="str">
            <v>SAUTER</v>
          </cell>
        </row>
        <row r="183">
          <cell r="C183" t="str">
            <v>327.201</v>
          </cell>
          <cell r="D183" t="str">
            <v>SERVOMOTOR 50 mm</v>
          </cell>
          <cell r="E183" t="str">
            <v>SAUTER</v>
          </cell>
          <cell r="F183">
            <v>34921</v>
          </cell>
          <cell r="G183" t="str">
            <v>DSH-694/95</v>
          </cell>
          <cell r="I183" t="str">
            <v>HAYIR</v>
          </cell>
          <cell r="J183" t="str">
            <v>ad</v>
          </cell>
          <cell r="K183">
            <v>11200000</v>
          </cell>
          <cell r="L183">
            <v>0.7</v>
          </cell>
          <cell r="M183" t="str">
            <v>EVET</v>
          </cell>
          <cell r="N183" t="str">
            <v>SAUTER</v>
          </cell>
        </row>
        <row r="184">
          <cell r="C184" t="str">
            <v>327.202</v>
          </cell>
          <cell r="D184" t="str">
            <v>SERVOMOTOR 80 mm VE ALTI</v>
          </cell>
          <cell r="E184" t="str">
            <v>SAUTER</v>
          </cell>
          <cell r="F184">
            <v>34921</v>
          </cell>
          <cell r="G184" t="str">
            <v>DSH-694/95</v>
          </cell>
          <cell r="I184" t="str">
            <v>HAYIR</v>
          </cell>
          <cell r="J184" t="str">
            <v>ad</v>
          </cell>
          <cell r="K184">
            <v>13000000</v>
          </cell>
          <cell r="L184">
            <v>0.7</v>
          </cell>
          <cell r="M184" t="str">
            <v>EVET</v>
          </cell>
          <cell r="N184" t="str">
            <v>SAUTER</v>
          </cell>
        </row>
        <row r="185">
          <cell r="C185" t="str">
            <v>328.101</v>
          </cell>
          <cell r="D185" t="str">
            <v>YAY GERİ DÖNÜŞ İLAVESİ</v>
          </cell>
          <cell r="E185" t="str">
            <v>SAUTER</v>
          </cell>
          <cell r="F185">
            <v>34921</v>
          </cell>
          <cell r="G185" t="str">
            <v>DSH-694/95</v>
          </cell>
          <cell r="I185" t="str">
            <v>HAYIR</v>
          </cell>
          <cell r="J185" t="str">
            <v>ad</v>
          </cell>
          <cell r="K185">
            <v>2750000</v>
          </cell>
          <cell r="L185">
            <v>0.7</v>
          </cell>
          <cell r="M185" t="str">
            <v>EVET</v>
          </cell>
          <cell r="N185" t="str">
            <v>SAUTER</v>
          </cell>
        </row>
        <row r="186">
          <cell r="C186" t="str">
            <v>328.201</v>
          </cell>
          <cell r="D186" t="str">
            <v>POTANSİYOMETRE İLAVESİ</v>
          </cell>
          <cell r="E186" t="str">
            <v>SAUTER</v>
          </cell>
          <cell r="F186">
            <v>34921</v>
          </cell>
          <cell r="G186" t="str">
            <v>DSH-694/95</v>
          </cell>
          <cell r="I186" t="str">
            <v>HAYIR</v>
          </cell>
          <cell r="J186" t="str">
            <v>ad</v>
          </cell>
          <cell r="K186">
            <v>1800000</v>
          </cell>
          <cell r="L186">
            <v>0.7</v>
          </cell>
          <cell r="M186" t="str">
            <v>EVET</v>
          </cell>
          <cell r="N186" t="str">
            <v>SAUTER</v>
          </cell>
        </row>
        <row r="187">
          <cell r="C187" t="str">
            <v>328.301</v>
          </cell>
          <cell r="D187" t="str">
            <v>KONTAK İLAVESİ</v>
          </cell>
          <cell r="E187" t="str">
            <v>SAUTER</v>
          </cell>
          <cell r="F187">
            <v>34921</v>
          </cell>
          <cell r="G187" t="str">
            <v>DSH-694/95</v>
          </cell>
          <cell r="I187" t="str">
            <v>HAYIR</v>
          </cell>
          <cell r="J187" t="str">
            <v>ad</v>
          </cell>
          <cell r="K187">
            <v>1450000</v>
          </cell>
          <cell r="L187">
            <v>0.7</v>
          </cell>
          <cell r="M187" t="str">
            <v>EVET</v>
          </cell>
          <cell r="N187" t="str">
            <v>SAUTER</v>
          </cell>
        </row>
        <row r="188">
          <cell r="C188" t="str">
            <v>331.101</v>
          </cell>
          <cell r="D188" t="str">
            <v>VANA SERVOM.BAĞL.MEK.50 mm</v>
          </cell>
          <cell r="E188" t="str">
            <v>SAUTER</v>
          </cell>
          <cell r="F188">
            <v>34921</v>
          </cell>
          <cell r="G188" t="str">
            <v>DSH-694/95</v>
          </cell>
          <cell r="I188" t="str">
            <v>HAYIR</v>
          </cell>
          <cell r="J188" t="str">
            <v>ad</v>
          </cell>
          <cell r="L188">
            <v>0.7</v>
          </cell>
          <cell r="M188" t="str">
            <v>EVET</v>
          </cell>
          <cell r="N188" t="str">
            <v>SAUTER</v>
          </cell>
        </row>
        <row r="189">
          <cell r="C189" t="str">
            <v>331.102</v>
          </cell>
          <cell r="D189" t="str">
            <v>VANA SERVOM.BAĞL.MEK.80 mm</v>
          </cell>
          <cell r="E189" t="str">
            <v>SAUTER</v>
          </cell>
          <cell r="F189">
            <v>34921</v>
          </cell>
          <cell r="G189" t="str">
            <v>DSH-694/95</v>
          </cell>
          <cell r="I189" t="str">
            <v>HAYIR</v>
          </cell>
          <cell r="J189" t="str">
            <v>ad</v>
          </cell>
          <cell r="L189">
            <v>0.7</v>
          </cell>
          <cell r="M189" t="str">
            <v>EVET</v>
          </cell>
          <cell r="N189" t="str">
            <v>SAUTER</v>
          </cell>
        </row>
        <row r="190">
          <cell r="C190" t="str">
            <v>ÖZEL 11</v>
          </cell>
          <cell r="D190" t="str">
            <v>KAPALI GENLEŞME TANKI 300 lt</v>
          </cell>
          <cell r="E190" t="str">
            <v>WİLO</v>
          </cell>
          <cell r="F190">
            <v>34921</v>
          </cell>
          <cell r="G190" t="str">
            <v>DSH-694/95</v>
          </cell>
          <cell r="I190" t="str">
            <v>HAYIR</v>
          </cell>
          <cell r="J190" t="str">
            <v>ad</v>
          </cell>
          <cell r="K190">
            <v>15416940</v>
          </cell>
          <cell r="L190">
            <v>0.7</v>
          </cell>
          <cell r="M190" t="str">
            <v>EVET</v>
          </cell>
          <cell r="N190" t="str">
            <v>WİLO</v>
          </cell>
          <cell r="P190">
            <v>1036</v>
          </cell>
        </row>
        <row r="191">
          <cell r="C191" t="str">
            <v>ÖZEL 12</v>
          </cell>
          <cell r="D191" t="str">
            <v>KAPALI GENLEŞME TANKI 500 lt</v>
          </cell>
          <cell r="E191" t="str">
            <v>WİLO</v>
          </cell>
          <cell r="F191">
            <v>34921</v>
          </cell>
          <cell r="G191" t="str">
            <v>DSH-694/95</v>
          </cell>
          <cell r="I191" t="str">
            <v>HAYIR</v>
          </cell>
          <cell r="J191" t="str">
            <v>ad</v>
          </cell>
          <cell r="K191">
            <v>26241600</v>
          </cell>
          <cell r="L191">
            <v>0.7</v>
          </cell>
          <cell r="M191" t="str">
            <v>EVET</v>
          </cell>
          <cell r="N191" t="str">
            <v>WİLO</v>
          </cell>
          <cell r="P191">
            <v>1036</v>
          </cell>
        </row>
        <row r="192">
          <cell r="C192" t="str">
            <v>ÖZEL 13</v>
          </cell>
          <cell r="D192" t="str">
            <v>KAPALI GENLEŞME TANKI 700 lt</v>
          </cell>
          <cell r="E192" t="str">
            <v>WİLO</v>
          </cell>
          <cell r="F192">
            <v>34921</v>
          </cell>
          <cell r="G192" t="str">
            <v>DSH-694/95</v>
          </cell>
          <cell r="I192" t="str">
            <v>HAYIR</v>
          </cell>
          <cell r="J192" t="str">
            <v>ad</v>
          </cell>
          <cell r="K192">
            <v>36082200</v>
          </cell>
          <cell r="L192">
            <v>0.7</v>
          </cell>
          <cell r="M192" t="str">
            <v>EVET</v>
          </cell>
          <cell r="N192" t="str">
            <v>WİLO</v>
          </cell>
          <cell r="P192">
            <v>1036</v>
          </cell>
        </row>
        <row r="193">
          <cell r="C193" t="str">
            <v>216.309</v>
          </cell>
          <cell r="D193" t="str">
            <v>SİRKÜLASYON POMPASI</v>
          </cell>
          <cell r="E193" t="str">
            <v>WİLO</v>
          </cell>
          <cell r="F193">
            <v>34921</v>
          </cell>
          <cell r="G193" t="str">
            <v>DSH-694/95</v>
          </cell>
          <cell r="I193" t="str">
            <v>HAYIR</v>
          </cell>
          <cell r="J193" t="str">
            <v>ad</v>
          </cell>
          <cell r="K193">
            <v>4719000</v>
          </cell>
          <cell r="L193">
            <v>0.6</v>
          </cell>
          <cell r="M193" t="str">
            <v>EVET</v>
          </cell>
          <cell r="N193" t="str">
            <v>WİLO</v>
          </cell>
          <cell r="P193">
            <v>1036</v>
          </cell>
        </row>
        <row r="194">
          <cell r="C194" t="str">
            <v>216.310</v>
          </cell>
          <cell r="D194" t="str">
            <v>SİRKÜLASYON POMPASI</v>
          </cell>
          <cell r="E194" t="str">
            <v>WİLO</v>
          </cell>
          <cell r="F194">
            <v>34921</v>
          </cell>
          <cell r="G194" t="str">
            <v>DSH-694/95</v>
          </cell>
          <cell r="I194" t="str">
            <v>HAYIR</v>
          </cell>
          <cell r="J194" t="str">
            <v>ad</v>
          </cell>
          <cell r="K194">
            <v>4875000</v>
          </cell>
          <cell r="L194">
            <v>0.6</v>
          </cell>
          <cell r="M194" t="str">
            <v>EVET</v>
          </cell>
          <cell r="N194" t="str">
            <v>WİLO</v>
          </cell>
          <cell r="P194">
            <v>1036</v>
          </cell>
        </row>
        <row r="195">
          <cell r="C195" t="str">
            <v>216.313</v>
          </cell>
          <cell r="D195" t="str">
            <v>SİRKÜLASYON POMPASI</v>
          </cell>
          <cell r="E195" t="str">
            <v>WİLO</v>
          </cell>
          <cell r="F195">
            <v>34921</v>
          </cell>
          <cell r="G195" t="str">
            <v>DSH-694/95</v>
          </cell>
          <cell r="I195" t="str">
            <v>HAYIR</v>
          </cell>
          <cell r="J195" t="str">
            <v>ad</v>
          </cell>
          <cell r="K195">
            <v>5590000</v>
          </cell>
          <cell r="L195">
            <v>0.6</v>
          </cell>
          <cell r="M195" t="str">
            <v>EVET</v>
          </cell>
          <cell r="N195" t="str">
            <v>WİLO</v>
          </cell>
          <cell r="P195">
            <v>1036</v>
          </cell>
        </row>
        <row r="196">
          <cell r="C196" t="str">
            <v>239.101</v>
          </cell>
          <cell r="D196" t="str">
            <v>PİSSU POMPASI</v>
          </cell>
          <cell r="E196" t="str">
            <v>WİLO</v>
          </cell>
          <cell r="F196">
            <v>34921</v>
          </cell>
          <cell r="G196" t="str">
            <v>DSH-694/95</v>
          </cell>
          <cell r="I196" t="str">
            <v>HAYIR</v>
          </cell>
          <cell r="J196" t="str">
            <v>ad</v>
          </cell>
          <cell r="K196">
            <v>3550000</v>
          </cell>
          <cell r="L196">
            <v>0.6</v>
          </cell>
          <cell r="M196" t="str">
            <v>EVET</v>
          </cell>
          <cell r="N196" t="str">
            <v>WİLO</v>
          </cell>
          <cell r="P196">
            <v>1036</v>
          </cell>
        </row>
        <row r="199">
          <cell r="C199" t="str">
            <v>ÖZEL 14</v>
          </cell>
          <cell r="D199" t="str">
            <v>ÇEVRE AYD.GLOBU, ALT KAİDESİ</v>
          </cell>
          <cell r="E199" t="str">
            <v>ACRILUX</v>
          </cell>
          <cell r="F199">
            <v>34933</v>
          </cell>
          <cell r="G199" t="str">
            <v>DSH-720/95</v>
          </cell>
          <cell r="I199" t="str">
            <v>HAYIR</v>
          </cell>
          <cell r="J199" t="str">
            <v>ad</v>
          </cell>
          <cell r="L199">
            <v>0.7</v>
          </cell>
          <cell r="M199" t="str">
            <v>EVET</v>
          </cell>
          <cell r="N199" t="str">
            <v>ACRILUX</v>
          </cell>
        </row>
        <row r="200">
          <cell r="C200" t="str">
            <v>780.101</v>
          </cell>
          <cell r="D200" t="str">
            <v>NORMAL ANAHTAR</v>
          </cell>
          <cell r="E200" t="str">
            <v>BUFER-NEPTÜN</v>
          </cell>
          <cell r="F200">
            <v>34655</v>
          </cell>
          <cell r="G200" t="str">
            <v>DSH-228</v>
          </cell>
          <cell r="I200" t="str">
            <v>HAYIR</v>
          </cell>
          <cell r="J200" t="str">
            <v>ad</v>
          </cell>
          <cell r="K200">
            <v>16500</v>
          </cell>
          <cell r="L200">
            <v>0.6</v>
          </cell>
          <cell r="M200" t="str">
            <v>EVET</v>
          </cell>
          <cell r="N200" t="str">
            <v>BUFER-NEPTÜN</v>
          </cell>
          <cell r="P200">
            <v>1131</v>
          </cell>
        </row>
        <row r="201">
          <cell r="C201" t="str">
            <v>780.102</v>
          </cell>
          <cell r="D201" t="str">
            <v>KOMÜTATÖR ANAHTAR</v>
          </cell>
          <cell r="E201" t="str">
            <v>BUFER-NEPTÜN</v>
          </cell>
          <cell r="F201">
            <v>34655</v>
          </cell>
          <cell r="G201" t="str">
            <v>DSH-228</v>
          </cell>
          <cell r="I201" t="str">
            <v>HAYIR</v>
          </cell>
          <cell r="J201" t="str">
            <v>ad</v>
          </cell>
          <cell r="K201">
            <v>21000</v>
          </cell>
          <cell r="L201">
            <v>0.6</v>
          </cell>
          <cell r="M201" t="str">
            <v>EVET</v>
          </cell>
          <cell r="N201" t="str">
            <v>BUFER-NEPTÜN</v>
          </cell>
          <cell r="P201">
            <v>1131</v>
          </cell>
        </row>
        <row r="202">
          <cell r="C202" t="str">
            <v>780.103</v>
          </cell>
          <cell r="D202" t="str">
            <v>VAEVİEN ANAHTAR</v>
          </cell>
          <cell r="E202" t="str">
            <v>BUFER-NEPTÜN</v>
          </cell>
          <cell r="F202">
            <v>34655</v>
          </cell>
          <cell r="G202" t="str">
            <v>DSH-228</v>
          </cell>
          <cell r="I202" t="str">
            <v>HAYIR</v>
          </cell>
          <cell r="J202" t="str">
            <v>ad</v>
          </cell>
          <cell r="K202">
            <v>16500</v>
          </cell>
          <cell r="L202">
            <v>0.6</v>
          </cell>
          <cell r="M202" t="str">
            <v>EVET</v>
          </cell>
          <cell r="N202" t="str">
            <v>BUFER-NEPTÜN</v>
          </cell>
          <cell r="P202">
            <v>1131</v>
          </cell>
        </row>
        <row r="203">
          <cell r="C203" t="str">
            <v>780.113</v>
          </cell>
          <cell r="D203" t="str">
            <v>NORMAL PRİZ</v>
          </cell>
          <cell r="E203" t="str">
            <v>BUFER-NEPTÜN</v>
          </cell>
          <cell r="F203">
            <v>34655</v>
          </cell>
          <cell r="G203" t="str">
            <v>DSH-228</v>
          </cell>
          <cell r="I203" t="str">
            <v>HAYIR</v>
          </cell>
          <cell r="J203" t="str">
            <v>ad</v>
          </cell>
          <cell r="K203">
            <v>16500</v>
          </cell>
          <cell r="L203">
            <v>0.6</v>
          </cell>
          <cell r="M203" t="str">
            <v>EVET</v>
          </cell>
          <cell r="N203" t="str">
            <v>BUFER-NEPTÜN</v>
          </cell>
          <cell r="P203">
            <v>1131</v>
          </cell>
        </row>
        <row r="204">
          <cell r="C204" t="str">
            <v>780.115</v>
          </cell>
          <cell r="D204" t="str">
            <v>GÖMME TOPRAKLI PRİZ</v>
          </cell>
          <cell r="E204" t="str">
            <v>BUFER-NEPTÜN</v>
          </cell>
          <cell r="F204">
            <v>34655</v>
          </cell>
          <cell r="G204" t="str">
            <v>DSH-228</v>
          </cell>
          <cell r="I204" t="str">
            <v>HAYIR</v>
          </cell>
          <cell r="J204" t="str">
            <v>ad</v>
          </cell>
          <cell r="K204">
            <v>19500</v>
          </cell>
          <cell r="L204">
            <v>0.6</v>
          </cell>
          <cell r="M204" t="str">
            <v>EVET</v>
          </cell>
          <cell r="N204" t="str">
            <v>BUFER-NEPTÜN</v>
          </cell>
          <cell r="P204">
            <v>1131</v>
          </cell>
        </row>
        <row r="205">
          <cell r="D205" t="str">
            <v>NORMAL TOPRAKLI PRİZ</v>
          </cell>
          <cell r="E205" t="str">
            <v>BUFER-NEPTÜN</v>
          </cell>
          <cell r="F205">
            <v>34655</v>
          </cell>
          <cell r="G205" t="str">
            <v>DSH-228</v>
          </cell>
          <cell r="I205" t="str">
            <v>HAYIR</v>
          </cell>
          <cell r="J205" t="str">
            <v>ad</v>
          </cell>
          <cell r="K205">
            <v>16500</v>
          </cell>
          <cell r="L205">
            <v>0.6</v>
          </cell>
          <cell r="M205" t="str">
            <v>EVET</v>
          </cell>
          <cell r="N205" t="str">
            <v>BUFER-NEPTÜN</v>
          </cell>
          <cell r="P205">
            <v>1131</v>
          </cell>
        </row>
        <row r="206">
          <cell r="C206" t="str">
            <v>880.103</v>
          </cell>
          <cell r="D206" t="str">
            <v>TELEFON PRİZİ</v>
          </cell>
          <cell r="E206" t="str">
            <v>BUFER-NEPTÜN</v>
          </cell>
          <cell r="F206">
            <v>34655</v>
          </cell>
          <cell r="G206" t="str">
            <v>DSH-228</v>
          </cell>
          <cell r="I206" t="str">
            <v>HAYIR</v>
          </cell>
          <cell r="J206" t="str">
            <v>ad</v>
          </cell>
          <cell r="K206">
            <v>21000</v>
          </cell>
          <cell r="L206">
            <v>0.6</v>
          </cell>
          <cell r="M206" t="str">
            <v>EVET</v>
          </cell>
          <cell r="N206" t="str">
            <v>BUFER-NEPTÜN</v>
          </cell>
          <cell r="P206">
            <v>1131</v>
          </cell>
        </row>
        <row r="207">
          <cell r="C207" t="str">
            <v>241.305</v>
          </cell>
          <cell r="D207" t="str">
            <v>PE PREF.İZOL.O21 30 mm KAL.</v>
          </cell>
          <cell r="E207" t="str">
            <v>FORMFLEX</v>
          </cell>
          <cell r="F207">
            <v>34954</v>
          </cell>
          <cell r="G207">
            <v>771</v>
          </cell>
          <cell r="I207" t="str">
            <v>HAYIR</v>
          </cell>
          <cell r="J207" t="str">
            <v>mt</v>
          </cell>
          <cell r="K207">
            <v>105000</v>
          </cell>
          <cell r="L207">
            <v>0.6</v>
          </cell>
          <cell r="M207" t="str">
            <v>EVET</v>
          </cell>
          <cell r="N207" t="str">
            <v>FORMFLEX</v>
          </cell>
        </row>
        <row r="208">
          <cell r="C208" t="str">
            <v>241.307</v>
          </cell>
          <cell r="D208" t="str">
            <v>PE PREF.İZOL.O28 10 mm KAL.</v>
          </cell>
          <cell r="E208" t="str">
            <v>FORMFLEX</v>
          </cell>
          <cell r="F208">
            <v>34954</v>
          </cell>
          <cell r="G208">
            <v>771</v>
          </cell>
          <cell r="I208" t="str">
            <v>HAYIR</v>
          </cell>
          <cell r="J208" t="str">
            <v>mt</v>
          </cell>
          <cell r="K208">
            <v>25500</v>
          </cell>
          <cell r="L208">
            <v>0.6</v>
          </cell>
          <cell r="M208" t="str">
            <v>EVET</v>
          </cell>
          <cell r="N208" t="str">
            <v>FORMFLEX</v>
          </cell>
        </row>
        <row r="209">
          <cell r="C209" t="str">
            <v>241.310</v>
          </cell>
          <cell r="D209" t="str">
            <v>PE PREF.İZOL.O28 30 mm KAL.</v>
          </cell>
          <cell r="E209" t="str">
            <v>FORMFLEX</v>
          </cell>
          <cell r="F209">
            <v>34954</v>
          </cell>
          <cell r="G209">
            <v>771</v>
          </cell>
          <cell r="I209" t="str">
            <v>HAYIR</v>
          </cell>
          <cell r="J209" t="str">
            <v>mt</v>
          </cell>
          <cell r="K209">
            <v>116500</v>
          </cell>
          <cell r="L209">
            <v>0.6</v>
          </cell>
          <cell r="M209" t="str">
            <v>EVET</v>
          </cell>
          <cell r="N209" t="str">
            <v>FORMFLEX</v>
          </cell>
        </row>
        <row r="210">
          <cell r="C210" t="str">
            <v>241.315</v>
          </cell>
          <cell r="D210" t="str">
            <v>PE PREF.İZOL.O35 30 mm KAL.</v>
          </cell>
          <cell r="E210" t="str">
            <v>FORMFLEX</v>
          </cell>
          <cell r="F210">
            <v>34954</v>
          </cell>
          <cell r="G210">
            <v>771</v>
          </cell>
          <cell r="I210" t="str">
            <v>HAYIR</v>
          </cell>
          <cell r="J210" t="str">
            <v>mt</v>
          </cell>
          <cell r="K210">
            <v>126000</v>
          </cell>
          <cell r="L210">
            <v>0.6</v>
          </cell>
          <cell r="M210" t="str">
            <v>EVET</v>
          </cell>
          <cell r="N210" t="str">
            <v>FORMFLEX</v>
          </cell>
        </row>
        <row r="211">
          <cell r="C211" t="str">
            <v>241.319</v>
          </cell>
          <cell r="D211" t="str">
            <v>PE PREF.İZOL.O42 30 mm KAL.</v>
          </cell>
          <cell r="E211" t="str">
            <v>FORMFLEX</v>
          </cell>
          <cell r="F211">
            <v>34954</v>
          </cell>
          <cell r="G211">
            <v>771</v>
          </cell>
          <cell r="I211" t="str">
            <v>HAYIR</v>
          </cell>
          <cell r="J211" t="str">
            <v>mt</v>
          </cell>
          <cell r="K211">
            <v>152000</v>
          </cell>
          <cell r="L211">
            <v>0.6</v>
          </cell>
          <cell r="M211" t="str">
            <v>EVET</v>
          </cell>
          <cell r="N211" t="str">
            <v>FORMFLEX</v>
          </cell>
        </row>
        <row r="212">
          <cell r="C212" t="str">
            <v>241.323</v>
          </cell>
          <cell r="D212" t="str">
            <v>PE PREF.İZOL.O48 30 mm KAL.</v>
          </cell>
          <cell r="E212" t="str">
            <v>FORMFLEX</v>
          </cell>
          <cell r="F212">
            <v>34954</v>
          </cell>
          <cell r="G212">
            <v>771</v>
          </cell>
          <cell r="I212" t="str">
            <v>HAYIR</v>
          </cell>
          <cell r="J212" t="str">
            <v>mt</v>
          </cell>
          <cell r="K212">
            <v>182000</v>
          </cell>
          <cell r="L212">
            <v>0.6</v>
          </cell>
          <cell r="M212" t="str">
            <v>EVET</v>
          </cell>
          <cell r="N212" t="str">
            <v>FORMFLEX</v>
          </cell>
        </row>
        <row r="213">
          <cell r="C213" t="str">
            <v>241.324</v>
          </cell>
          <cell r="D213" t="str">
            <v>PE PREF.İZOL.O60 10 mm KAL.</v>
          </cell>
          <cell r="E213" t="str">
            <v>FORMFLEX</v>
          </cell>
          <cell r="F213">
            <v>34954</v>
          </cell>
          <cell r="G213">
            <v>771</v>
          </cell>
          <cell r="I213" t="str">
            <v>HAYIR</v>
          </cell>
          <cell r="J213" t="str">
            <v>mt</v>
          </cell>
          <cell r="K213">
            <v>48000</v>
          </cell>
          <cell r="L213">
            <v>0.6</v>
          </cell>
          <cell r="M213" t="str">
            <v>EVET</v>
          </cell>
          <cell r="N213" t="str">
            <v>FORMFLEX</v>
          </cell>
        </row>
        <row r="214">
          <cell r="C214" t="str">
            <v>241.327</v>
          </cell>
          <cell r="D214" t="str">
            <v>PE PREF.İZOL.O60 30 mm KAL.</v>
          </cell>
          <cell r="E214" t="str">
            <v>FORMFLEX</v>
          </cell>
          <cell r="F214">
            <v>34954</v>
          </cell>
          <cell r="G214">
            <v>771</v>
          </cell>
          <cell r="I214" t="str">
            <v>HAYIR</v>
          </cell>
          <cell r="J214" t="str">
            <v>mt</v>
          </cell>
          <cell r="K214">
            <v>262000</v>
          </cell>
          <cell r="L214">
            <v>0.6</v>
          </cell>
          <cell r="M214" t="str">
            <v>EVET</v>
          </cell>
          <cell r="N214" t="str">
            <v>FORMFLEX</v>
          </cell>
        </row>
        <row r="215">
          <cell r="C215" t="str">
            <v>241.331</v>
          </cell>
          <cell r="D215" t="str">
            <v>PE PREF.İZOL.O76 30 mm KAL.</v>
          </cell>
          <cell r="E215" t="str">
            <v>FORMFLEX</v>
          </cell>
          <cell r="F215">
            <v>34954</v>
          </cell>
          <cell r="G215">
            <v>771</v>
          </cell>
          <cell r="I215" t="str">
            <v>HAYIR</v>
          </cell>
          <cell r="J215" t="str">
            <v>mt</v>
          </cell>
          <cell r="K215">
            <v>275000</v>
          </cell>
          <cell r="L215">
            <v>0.6</v>
          </cell>
          <cell r="M215" t="str">
            <v>EVET</v>
          </cell>
          <cell r="N215" t="str">
            <v>FORMFLEX</v>
          </cell>
        </row>
        <row r="216">
          <cell r="C216" t="str">
            <v>241.335</v>
          </cell>
          <cell r="D216" t="str">
            <v>PE PREF.İZOL.O89 30 mm KAL.</v>
          </cell>
          <cell r="E216" t="str">
            <v>FORMFLEX</v>
          </cell>
          <cell r="F216">
            <v>34954</v>
          </cell>
          <cell r="G216">
            <v>771</v>
          </cell>
          <cell r="I216" t="str">
            <v>HAYIR</v>
          </cell>
          <cell r="J216" t="str">
            <v>mt</v>
          </cell>
          <cell r="K216">
            <v>565000</v>
          </cell>
          <cell r="L216">
            <v>0.6</v>
          </cell>
          <cell r="M216" t="str">
            <v>EVET</v>
          </cell>
          <cell r="N216" t="str">
            <v>FORMFLEX</v>
          </cell>
        </row>
        <row r="246">
          <cell r="D246" t="str">
            <v>LAVABO TESİSATI</v>
          </cell>
          <cell r="E246" t="str">
            <v>ECA</v>
          </cell>
          <cell r="F246">
            <v>34702</v>
          </cell>
          <cell r="G246" t="str">
            <v>DSH-08</v>
          </cell>
          <cell r="I246" t="str">
            <v>HAYIR</v>
          </cell>
          <cell r="J246" t="str">
            <v>ad</v>
          </cell>
          <cell r="K246">
            <v>960000</v>
          </cell>
          <cell r="L246">
            <v>0.6</v>
          </cell>
          <cell r="M246" t="str">
            <v>EVET</v>
          </cell>
          <cell r="N246" t="str">
            <v>ECA</v>
          </cell>
        </row>
        <row r="247">
          <cell r="D247" t="str">
            <v>AKRİLİK ASTAR</v>
          </cell>
          <cell r="E247" t="str">
            <v>HALİMOĞLU</v>
          </cell>
          <cell r="F247">
            <v>34683</v>
          </cell>
          <cell r="G247" t="str">
            <v>DSH-312</v>
          </cell>
          <cell r="I247" t="str">
            <v>VAR</v>
          </cell>
          <cell r="J247" t="str">
            <v>kg</v>
          </cell>
          <cell r="N247" t="str">
            <v>HALİMOĞLU</v>
          </cell>
        </row>
        <row r="248">
          <cell r="D248" t="str">
            <v>FASARİT</v>
          </cell>
          <cell r="E248" t="str">
            <v>HALİMOĞLU</v>
          </cell>
          <cell r="F248">
            <v>34688</v>
          </cell>
          <cell r="G248" t="str">
            <v>DSH-349</v>
          </cell>
          <cell r="I248" t="str">
            <v>HAYIR</v>
          </cell>
          <cell r="J248" t="str">
            <v>kg</v>
          </cell>
          <cell r="L248">
            <v>1</v>
          </cell>
          <cell r="M248" t="str">
            <v>EVET</v>
          </cell>
          <cell r="N248" t="str">
            <v>HALİMOĞLU</v>
          </cell>
        </row>
        <row r="249">
          <cell r="D249" t="str">
            <v>FAYANS YAPIŞTIRICISI</v>
          </cell>
          <cell r="E249" t="str">
            <v>KALEKİM</v>
          </cell>
          <cell r="F249">
            <v>34683</v>
          </cell>
          <cell r="G249" t="str">
            <v>DSH-312</v>
          </cell>
          <cell r="I249" t="str">
            <v>HAYIR</v>
          </cell>
          <cell r="J249" t="str">
            <v>kg</v>
          </cell>
          <cell r="L249">
            <v>1</v>
          </cell>
          <cell r="M249" t="str">
            <v>EVET</v>
          </cell>
          <cell r="N249" t="str">
            <v>KALEKİM</v>
          </cell>
        </row>
        <row r="250">
          <cell r="D250" t="str">
            <v>ANAHTARLI OTO SİGORTA</v>
          </cell>
          <cell r="E250" t="str">
            <v>KALEPORSELEN</v>
          </cell>
          <cell r="F250">
            <v>34695</v>
          </cell>
          <cell r="G250" t="str">
            <v>DSH-384</v>
          </cell>
          <cell r="I250" t="str">
            <v>HAYIR</v>
          </cell>
          <cell r="J250" t="str">
            <v>ad</v>
          </cell>
          <cell r="M250" t="str">
            <v>EVET</v>
          </cell>
          <cell r="N250" t="str">
            <v>KALEPORSELEN</v>
          </cell>
        </row>
        <row r="251">
          <cell r="D251" t="str">
            <v>ANKASTRE ANAHTAR</v>
          </cell>
          <cell r="E251" t="str">
            <v>DEMİRBAĞ</v>
          </cell>
          <cell r="F251">
            <v>34687</v>
          </cell>
          <cell r="G251" t="str">
            <v>DSH-332</v>
          </cell>
          <cell r="I251" t="str">
            <v>HAYIR</v>
          </cell>
          <cell r="J251" t="str">
            <v>ad</v>
          </cell>
          <cell r="M251" t="str">
            <v>EVET</v>
          </cell>
          <cell r="N251" t="str">
            <v>DEMİRBAĞ</v>
          </cell>
        </row>
        <row r="252">
          <cell r="D252" t="str">
            <v>ANKASTRE PRİZ</v>
          </cell>
          <cell r="E252" t="str">
            <v>DEMİRBAĞ</v>
          </cell>
          <cell r="F252">
            <v>34687</v>
          </cell>
          <cell r="G252" t="str">
            <v>DSH-332</v>
          </cell>
          <cell r="I252" t="str">
            <v>HAYIR</v>
          </cell>
          <cell r="J252" t="str">
            <v>ad</v>
          </cell>
          <cell r="M252" t="str">
            <v>EVET</v>
          </cell>
          <cell r="N252" t="str">
            <v>DEMİRBAĞ</v>
          </cell>
        </row>
        <row r="253">
          <cell r="D253" t="str">
            <v>ELEKTRİK LAMBA DUYU</v>
          </cell>
          <cell r="E253" t="str">
            <v>KALEPORSELEN</v>
          </cell>
          <cell r="F253">
            <v>34695</v>
          </cell>
          <cell r="G253" t="str">
            <v>DSH-384</v>
          </cell>
          <cell r="I253" t="str">
            <v>HAYIR</v>
          </cell>
          <cell r="J253" t="str">
            <v>ad</v>
          </cell>
          <cell r="M253" t="str">
            <v>EVET</v>
          </cell>
          <cell r="N253" t="str">
            <v>KALEPORSELEN</v>
          </cell>
        </row>
        <row r="254">
          <cell r="D254" t="str">
            <v>KABLO BAŞLIĞI</v>
          </cell>
          <cell r="E254" t="str">
            <v>ULUSOY</v>
          </cell>
          <cell r="F254">
            <v>34695</v>
          </cell>
          <cell r="G254" t="str">
            <v>DSH-384</v>
          </cell>
          <cell r="I254" t="str">
            <v>HAYIR</v>
          </cell>
          <cell r="J254" t="str">
            <v>ad</v>
          </cell>
          <cell r="M254" t="str">
            <v>EVET</v>
          </cell>
          <cell r="N254" t="str">
            <v>ULUSOY</v>
          </cell>
        </row>
        <row r="255">
          <cell r="D255" t="str">
            <v>KABLO EK MUFU</v>
          </cell>
          <cell r="E255" t="str">
            <v>ULUSOY</v>
          </cell>
          <cell r="F255">
            <v>34695</v>
          </cell>
          <cell r="G255" t="str">
            <v>DSH-384</v>
          </cell>
          <cell r="I255" t="str">
            <v>HAYIR</v>
          </cell>
          <cell r="J255" t="str">
            <v>ad</v>
          </cell>
          <cell r="M255" t="str">
            <v>EVET</v>
          </cell>
          <cell r="N255" t="str">
            <v>ULUSOY</v>
          </cell>
        </row>
        <row r="256">
          <cell r="D256" t="str">
            <v>KONTAKTÖR TERMİK</v>
          </cell>
          <cell r="E256" t="str">
            <v>BBC,BUFER</v>
          </cell>
          <cell r="F256">
            <v>34655</v>
          </cell>
          <cell r="G256" t="str">
            <v>DSH-228</v>
          </cell>
          <cell r="I256" t="str">
            <v>HAYIR</v>
          </cell>
          <cell r="J256" t="str">
            <v>ad</v>
          </cell>
          <cell r="M256" t="str">
            <v>EVET</v>
          </cell>
          <cell r="N256" t="str">
            <v>BBC,BUFER</v>
          </cell>
        </row>
        <row r="257">
          <cell r="D257" t="str">
            <v>LOJMAN TİPİ KABLO</v>
          </cell>
          <cell r="E257" t="str">
            <v>KALEPORSELEN</v>
          </cell>
          <cell r="F257">
            <v>34695</v>
          </cell>
          <cell r="G257" t="str">
            <v>DSH-384</v>
          </cell>
          <cell r="I257" t="str">
            <v>HAYIR</v>
          </cell>
          <cell r="J257" t="str">
            <v>ad</v>
          </cell>
          <cell r="M257" t="str">
            <v>EVET</v>
          </cell>
          <cell r="N257" t="str">
            <v>KALEPORSELEN</v>
          </cell>
        </row>
        <row r="258">
          <cell r="D258" t="str">
            <v>PAKO ŞALTER</v>
          </cell>
          <cell r="E258" t="str">
            <v>BUFER</v>
          </cell>
          <cell r="F258">
            <v>34655</v>
          </cell>
          <cell r="G258" t="str">
            <v>DSH-228</v>
          </cell>
          <cell r="I258" t="str">
            <v>HAYIR</v>
          </cell>
          <cell r="J258" t="str">
            <v>ad</v>
          </cell>
          <cell r="M258" t="str">
            <v>EVET</v>
          </cell>
          <cell r="N258" t="str">
            <v>BUFER</v>
          </cell>
        </row>
        <row r="259">
          <cell r="D259" t="str">
            <v>PARATONER</v>
          </cell>
          <cell r="E259" t="str">
            <v>RADSAN</v>
          </cell>
          <cell r="F259">
            <v>34655</v>
          </cell>
          <cell r="G259" t="str">
            <v>DSH-228</v>
          </cell>
          <cell r="I259" t="str">
            <v>HAYIR</v>
          </cell>
          <cell r="J259" t="str">
            <v>ad</v>
          </cell>
          <cell r="M259" t="str">
            <v>EVET</v>
          </cell>
          <cell r="N259" t="str">
            <v>RADSAN</v>
          </cell>
        </row>
        <row r="260">
          <cell r="D260" t="str">
            <v>SIRA KLEMENS</v>
          </cell>
          <cell r="E260" t="str">
            <v>DOĞAN</v>
          </cell>
          <cell r="F260">
            <v>34655</v>
          </cell>
          <cell r="G260" t="str">
            <v>DSH-228</v>
          </cell>
          <cell r="I260" t="str">
            <v>HAYIR</v>
          </cell>
          <cell r="J260" t="str">
            <v>ad</v>
          </cell>
          <cell r="M260" t="str">
            <v>EVET</v>
          </cell>
          <cell r="N260" t="str">
            <v>DOĞAN</v>
          </cell>
        </row>
        <row r="261">
          <cell r="D261" t="str">
            <v>SİGORTA KESİCİLERİ</v>
          </cell>
          <cell r="E261" t="str">
            <v>KALEPORSELEN</v>
          </cell>
          <cell r="F261">
            <v>34655</v>
          </cell>
          <cell r="G261" t="str">
            <v>DSH-228</v>
          </cell>
          <cell r="I261" t="str">
            <v>HAYIR</v>
          </cell>
          <cell r="J261" t="str">
            <v>ad</v>
          </cell>
          <cell r="M261" t="str">
            <v>EVET</v>
          </cell>
          <cell r="N261" t="str">
            <v>KALEPORSELEN</v>
          </cell>
        </row>
        <row r="262">
          <cell r="D262" t="str">
            <v>SIVA ALTI BUVAT KLEMENSİ</v>
          </cell>
          <cell r="E262" t="str">
            <v>METESAN</v>
          </cell>
          <cell r="F262">
            <v>34705</v>
          </cell>
          <cell r="G262" t="str">
            <v>DSH-25</v>
          </cell>
          <cell r="I262" t="str">
            <v>HAYIR</v>
          </cell>
          <cell r="J262" t="str">
            <v>ad</v>
          </cell>
          <cell r="M262" t="str">
            <v>EVET</v>
          </cell>
          <cell r="N262" t="str">
            <v>METESAN</v>
          </cell>
        </row>
        <row r="263">
          <cell r="D263" t="str">
            <v>TELEFON PRİZİ</v>
          </cell>
          <cell r="E263" t="str">
            <v>DEMİRBAĞ</v>
          </cell>
          <cell r="F263">
            <v>34687</v>
          </cell>
          <cell r="G263" t="str">
            <v>DSH-332</v>
          </cell>
          <cell r="I263" t="str">
            <v>HAYIR</v>
          </cell>
          <cell r="J263" t="str">
            <v>ad</v>
          </cell>
          <cell r="M263" t="str">
            <v>EVET</v>
          </cell>
          <cell r="N263" t="str">
            <v>DEMİRBAĞ</v>
          </cell>
        </row>
        <row r="264">
          <cell r="D264" t="str">
            <v>TV SİSTEMLERİ</v>
          </cell>
          <cell r="E264" t="str">
            <v>TAMGÖR</v>
          </cell>
          <cell r="F264">
            <v>34655</v>
          </cell>
          <cell r="G264" t="str">
            <v>DSH-228</v>
          </cell>
          <cell r="I264" t="str">
            <v>HAYIR</v>
          </cell>
          <cell r="M264" t="str">
            <v>EVET</v>
          </cell>
          <cell r="N264" t="str">
            <v>TAMGÖR</v>
          </cell>
        </row>
        <row r="265">
          <cell r="D265" t="str">
            <v>VİTRİFİYE MALZ.</v>
          </cell>
          <cell r="E265" t="str">
            <v>SEREL</v>
          </cell>
          <cell r="F265">
            <v>34702</v>
          </cell>
          <cell r="G265" t="str">
            <v>DSH-08</v>
          </cell>
          <cell r="I265" t="str">
            <v>HAYIR</v>
          </cell>
          <cell r="L265">
            <v>0.6</v>
          </cell>
          <cell r="M265" t="str">
            <v>EVET</v>
          </cell>
          <cell r="N265" t="str">
            <v>SEREL</v>
          </cell>
        </row>
        <row r="266">
          <cell r="D266" t="str">
            <v>YANGIN HORTUMU</v>
          </cell>
          <cell r="E266" t="str">
            <v>FİDAN</v>
          </cell>
          <cell r="F266">
            <v>34688</v>
          </cell>
          <cell r="G266" t="str">
            <v>DSH-349</v>
          </cell>
          <cell r="I266" t="str">
            <v>HAYIR</v>
          </cell>
          <cell r="N266" t="str">
            <v>FİDAN</v>
          </cell>
        </row>
      </sheetData>
      <sheetData sheetId="1" refreshError="1"/>
      <sheetData sheetId="2" refreshError="1">
        <row r="9">
          <cell r="E9">
            <v>100</v>
          </cell>
          <cell r="F9">
            <v>933.33333000000005</v>
          </cell>
          <cell r="G9">
            <v>48.2</v>
          </cell>
          <cell r="H9">
            <v>885.13333</v>
          </cell>
          <cell r="I9">
            <v>933.33333000000005</v>
          </cell>
        </row>
        <row r="10">
          <cell r="E10">
            <v>111</v>
          </cell>
          <cell r="F10">
            <v>233.33332999999999</v>
          </cell>
          <cell r="G10">
            <v>0</v>
          </cell>
          <cell r="H10">
            <v>233.33332999999999</v>
          </cell>
          <cell r="I10">
            <v>233.33332999999999</v>
          </cell>
        </row>
        <row r="11">
          <cell r="E11">
            <v>121</v>
          </cell>
          <cell r="F11">
            <v>70</v>
          </cell>
          <cell r="G11">
            <v>0</v>
          </cell>
          <cell r="H11">
            <v>70</v>
          </cell>
          <cell r="I11">
            <v>70</v>
          </cell>
        </row>
        <row r="12">
          <cell r="E12">
            <v>122</v>
          </cell>
          <cell r="F12">
            <v>163.33332999999999</v>
          </cell>
          <cell r="G12">
            <v>0</v>
          </cell>
          <cell r="H12">
            <v>163.33332999999999</v>
          </cell>
          <cell r="I12">
            <v>163.33332999999999</v>
          </cell>
        </row>
        <row r="13">
          <cell r="E13">
            <v>131</v>
          </cell>
          <cell r="F13">
            <v>121.33333</v>
          </cell>
          <cell r="G13">
            <v>0</v>
          </cell>
          <cell r="H13">
            <v>121.33333</v>
          </cell>
          <cell r="I13">
            <v>121.33333</v>
          </cell>
        </row>
        <row r="14">
          <cell r="E14">
            <v>132</v>
          </cell>
          <cell r="F14">
            <v>48.533329999999999</v>
          </cell>
          <cell r="G14">
            <v>0</v>
          </cell>
          <cell r="H14">
            <v>48.533329999999999</v>
          </cell>
          <cell r="I14">
            <v>48.533329999999999</v>
          </cell>
        </row>
        <row r="15">
          <cell r="E15">
            <v>133</v>
          </cell>
          <cell r="F15">
            <v>72.8</v>
          </cell>
          <cell r="G15">
            <v>0</v>
          </cell>
          <cell r="H15">
            <v>72.8</v>
          </cell>
          <cell r="I15">
            <v>72.8</v>
          </cell>
        </row>
        <row r="16">
          <cell r="E16">
            <v>141</v>
          </cell>
          <cell r="F16">
            <v>121.52</v>
          </cell>
          <cell r="G16">
            <v>0</v>
          </cell>
          <cell r="H16">
            <v>28</v>
          </cell>
          <cell r="I16">
            <v>28</v>
          </cell>
        </row>
        <row r="17">
          <cell r="E17">
            <v>142</v>
          </cell>
          <cell r="F17">
            <v>43</v>
          </cell>
          <cell r="G17">
            <v>0</v>
          </cell>
          <cell r="H17">
            <v>28</v>
          </cell>
          <cell r="I17">
            <v>28</v>
          </cell>
        </row>
        <row r="18">
          <cell r="E18">
            <v>143</v>
          </cell>
          <cell r="F18">
            <v>73.333330000000004</v>
          </cell>
          <cell r="G18">
            <v>0</v>
          </cell>
          <cell r="H18">
            <v>37.333329999999997</v>
          </cell>
          <cell r="I18">
            <v>37.333329999999997</v>
          </cell>
        </row>
        <row r="19">
          <cell r="E19">
            <v>151</v>
          </cell>
          <cell r="F19">
            <v>14.93333</v>
          </cell>
          <cell r="G19">
            <v>0</v>
          </cell>
          <cell r="H19">
            <v>14.93333</v>
          </cell>
          <cell r="I19">
            <v>14.93333</v>
          </cell>
        </row>
        <row r="20">
          <cell r="E20">
            <v>152</v>
          </cell>
          <cell r="F20">
            <v>14.93333</v>
          </cell>
          <cell r="G20">
            <v>0</v>
          </cell>
          <cell r="H20">
            <v>14.93333</v>
          </cell>
          <cell r="I20">
            <v>14.93333</v>
          </cell>
        </row>
        <row r="21">
          <cell r="E21">
            <v>153</v>
          </cell>
          <cell r="F21">
            <v>7.4666699999999997</v>
          </cell>
          <cell r="G21">
            <v>0</v>
          </cell>
          <cell r="H21">
            <v>7.4666699999999997</v>
          </cell>
          <cell r="I21">
            <v>7.4666699999999997</v>
          </cell>
        </row>
        <row r="22">
          <cell r="E22">
            <v>161</v>
          </cell>
          <cell r="F22">
            <v>22.4</v>
          </cell>
          <cell r="G22">
            <v>0</v>
          </cell>
          <cell r="H22">
            <v>22.4</v>
          </cell>
          <cell r="I22">
            <v>22.4</v>
          </cell>
        </row>
        <row r="23">
          <cell r="E23">
            <v>162</v>
          </cell>
          <cell r="F23">
            <v>22.4</v>
          </cell>
          <cell r="G23">
            <v>0</v>
          </cell>
          <cell r="H23">
            <v>22.4</v>
          </cell>
          <cell r="I23">
            <v>22.4</v>
          </cell>
        </row>
        <row r="24">
          <cell r="E24">
            <v>163</v>
          </cell>
          <cell r="F24">
            <v>11.2</v>
          </cell>
          <cell r="G24">
            <v>0</v>
          </cell>
          <cell r="H24">
            <v>11.2</v>
          </cell>
          <cell r="I24">
            <v>11.2</v>
          </cell>
        </row>
        <row r="25">
          <cell r="E25">
            <v>171</v>
          </cell>
          <cell r="F25">
            <v>37.333329999999997</v>
          </cell>
          <cell r="G25">
            <v>37.333329999999997</v>
          </cell>
          <cell r="H25">
            <v>0</v>
          </cell>
          <cell r="I25">
            <v>37.333329999999997</v>
          </cell>
        </row>
        <row r="26">
          <cell r="E26">
            <v>200</v>
          </cell>
          <cell r="F26">
            <v>1446.6666700000001</v>
          </cell>
          <cell r="G26">
            <v>0</v>
          </cell>
          <cell r="H26">
            <v>1446.6666700000001</v>
          </cell>
          <cell r="I26">
            <v>1446.6666700000001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E28">
            <v>300</v>
          </cell>
          <cell r="F28">
            <v>280</v>
          </cell>
          <cell r="G28">
            <v>0</v>
          </cell>
          <cell r="H28">
            <v>280</v>
          </cell>
          <cell r="I28">
            <v>280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E30">
            <v>311</v>
          </cell>
          <cell r="F30">
            <v>140</v>
          </cell>
          <cell r="G30">
            <v>0</v>
          </cell>
          <cell r="H30">
            <v>140</v>
          </cell>
          <cell r="I30">
            <v>140</v>
          </cell>
        </row>
        <row r="31">
          <cell r="E31">
            <v>322</v>
          </cell>
          <cell r="F31">
            <v>140</v>
          </cell>
          <cell r="G31">
            <v>0</v>
          </cell>
          <cell r="H31">
            <v>140</v>
          </cell>
          <cell r="I31">
            <v>140</v>
          </cell>
        </row>
        <row r="32">
          <cell r="E32">
            <v>400</v>
          </cell>
          <cell r="F32">
            <v>93.333330000000004</v>
          </cell>
          <cell r="G32">
            <v>0</v>
          </cell>
          <cell r="H32">
            <v>93.333330000000004</v>
          </cell>
          <cell r="I32">
            <v>93.333330000000004</v>
          </cell>
        </row>
        <row r="33">
          <cell r="E33">
            <v>401</v>
          </cell>
          <cell r="F33">
            <v>56</v>
          </cell>
          <cell r="G33">
            <v>0</v>
          </cell>
          <cell r="H33">
            <v>56</v>
          </cell>
          <cell r="I33">
            <v>56</v>
          </cell>
        </row>
        <row r="34">
          <cell r="E34">
            <v>402</v>
          </cell>
          <cell r="F34">
            <v>37.333329999999997</v>
          </cell>
          <cell r="G34">
            <v>0</v>
          </cell>
          <cell r="H34">
            <v>37.333329999999997</v>
          </cell>
          <cell r="I34">
            <v>37.333329999999997</v>
          </cell>
        </row>
        <row r="35">
          <cell r="E35">
            <v>500</v>
          </cell>
          <cell r="F35">
            <v>373.33332999999999</v>
          </cell>
          <cell r="G35">
            <v>10.66667</v>
          </cell>
          <cell r="H35">
            <v>362.66667000000001</v>
          </cell>
          <cell r="I35">
            <v>373.33332999999999</v>
          </cell>
        </row>
        <row r="36">
          <cell r="E36">
            <v>511</v>
          </cell>
          <cell r="F36">
            <v>29.866669999999999</v>
          </cell>
          <cell r="G36">
            <v>0</v>
          </cell>
          <cell r="H36">
            <v>29.866669999999999</v>
          </cell>
          <cell r="I36">
            <v>29.866669999999999</v>
          </cell>
        </row>
        <row r="37">
          <cell r="E37">
            <v>512</v>
          </cell>
          <cell r="F37">
            <v>44.8</v>
          </cell>
          <cell r="G37">
            <v>0</v>
          </cell>
          <cell r="H37">
            <v>44.8</v>
          </cell>
          <cell r="I37">
            <v>44.8</v>
          </cell>
        </row>
        <row r="38">
          <cell r="E38">
            <v>521</v>
          </cell>
          <cell r="F38">
            <v>74.666669999999996</v>
          </cell>
          <cell r="G38">
            <v>1.6</v>
          </cell>
          <cell r="H38">
            <v>73.066670000000002</v>
          </cell>
          <cell r="I38">
            <v>74.666669999999996</v>
          </cell>
        </row>
        <row r="39">
          <cell r="E39">
            <v>522</v>
          </cell>
          <cell r="F39">
            <v>74.666669999999996</v>
          </cell>
          <cell r="G39">
            <v>1.6</v>
          </cell>
          <cell r="H39">
            <v>73.066670000000002</v>
          </cell>
          <cell r="I39">
            <v>74.666669999999996</v>
          </cell>
        </row>
        <row r="40">
          <cell r="E40">
            <v>531</v>
          </cell>
          <cell r="F40">
            <v>37.333329999999997</v>
          </cell>
          <cell r="G40">
            <v>1.8666700000000001</v>
          </cell>
          <cell r="H40">
            <v>35.466670000000001</v>
          </cell>
          <cell r="I40">
            <v>37.333329999999997</v>
          </cell>
        </row>
        <row r="41">
          <cell r="E41">
            <v>541</v>
          </cell>
          <cell r="F41">
            <v>112</v>
          </cell>
          <cell r="G41">
            <v>5.6</v>
          </cell>
          <cell r="H41">
            <v>106.4</v>
          </cell>
          <cell r="I41">
            <v>112</v>
          </cell>
        </row>
        <row r="42">
          <cell r="E42">
            <v>600</v>
          </cell>
          <cell r="F42">
            <v>140</v>
          </cell>
          <cell r="G42">
            <v>0</v>
          </cell>
          <cell r="H42">
            <v>140</v>
          </cell>
          <cell r="I42">
            <v>140</v>
          </cell>
        </row>
        <row r="43">
          <cell r="E43">
            <v>601</v>
          </cell>
          <cell r="F43">
            <v>70</v>
          </cell>
          <cell r="G43">
            <v>0</v>
          </cell>
          <cell r="H43">
            <v>70</v>
          </cell>
          <cell r="I43">
            <v>70</v>
          </cell>
        </row>
        <row r="44">
          <cell r="E44">
            <v>602</v>
          </cell>
          <cell r="F44">
            <v>70</v>
          </cell>
          <cell r="G44">
            <v>0</v>
          </cell>
          <cell r="H44">
            <v>70</v>
          </cell>
          <cell r="I44">
            <v>70</v>
          </cell>
        </row>
        <row r="45">
          <cell r="E45">
            <v>700</v>
          </cell>
          <cell r="F45">
            <v>186.66667000000001</v>
          </cell>
          <cell r="G45">
            <v>0</v>
          </cell>
          <cell r="H45">
            <v>186.66667000000001</v>
          </cell>
          <cell r="I45">
            <v>186.66667000000001</v>
          </cell>
        </row>
        <row r="46">
          <cell r="E46">
            <v>701</v>
          </cell>
          <cell r="F46">
            <v>28</v>
          </cell>
          <cell r="G46">
            <v>0</v>
          </cell>
          <cell r="H46">
            <v>28</v>
          </cell>
          <cell r="I46">
            <v>28</v>
          </cell>
        </row>
        <row r="47">
          <cell r="E47">
            <v>702</v>
          </cell>
          <cell r="F47">
            <v>149.33332999999999</v>
          </cell>
          <cell r="G47">
            <v>0</v>
          </cell>
          <cell r="H47">
            <v>149.33332999999999</v>
          </cell>
          <cell r="I47">
            <v>149.33332999999999</v>
          </cell>
        </row>
        <row r="48">
          <cell r="E48">
            <v>703</v>
          </cell>
          <cell r="F48">
            <v>9.3333300000000001</v>
          </cell>
          <cell r="G48">
            <v>0</v>
          </cell>
          <cell r="H48">
            <v>9.3333300000000001</v>
          </cell>
          <cell r="I48">
            <v>9.3333300000000001</v>
          </cell>
        </row>
        <row r="49">
          <cell r="E49">
            <v>800</v>
          </cell>
          <cell r="F49">
            <v>46.666670000000003</v>
          </cell>
          <cell r="G49">
            <v>0</v>
          </cell>
          <cell r="H49">
            <v>46.666670000000003</v>
          </cell>
          <cell r="I49">
            <v>46.666670000000003</v>
          </cell>
        </row>
        <row r="50">
          <cell r="E50">
            <v>801</v>
          </cell>
          <cell r="F50">
            <v>18.66667</v>
          </cell>
          <cell r="G50">
            <v>0</v>
          </cell>
          <cell r="H50">
            <v>18.66667</v>
          </cell>
          <cell r="I50">
            <v>18.66667</v>
          </cell>
        </row>
        <row r="51">
          <cell r="E51">
            <v>802</v>
          </cell>
          <cell r="F51">
            <v>28</v>
          </cell>
          <cell r="G51">
            <v>0</v>
          </cell>
          <cell r="H51">
            <v>28</v>
          </cell>
          <cell r="I51">
            <v>28</v>
          </cell>
        </row>
        <row r="52">
          <cell r="E52">
            <v>900</v>
          </cell>
          <cell r="F52">
            <v>140</v>
          </cell>
          <cell r="G52">
            <v>2.125</v>
          </cell>
          <cell r="H52">
            <v>137.875</v>
          </cell>
          <cell r="I52">
            <v>140</v>
          </cell>
        </row>
        <row r="53">
          <cell r="E53">
            <v>901</v>
          </cell>
          <cell r="F53">
            <v>42</v>
          </cell>
          <cell r="G53">
            <v>0</v>
          </cell>
          <cell r="H53">
            <v>42</v>
          </cell>
          <cell r="I53">
            <v>42</v>
          </cell>
        </row>
        <row r="54">
          <cell r="E54">
            <v>902</v>
          </cell>
          <cell r="F54">
            <v>63</v>
          </cell>
          <cell r="G54">
            <v>0</v>
          </cell>
          <cell r="H54">
            <v>63</v>
          </cell>
          <cell r="I54">
            <v>63</v>
          </cell>
        </row>
        <row r="55">
          <cell r="E55">
            <v>903</v>
          </cell>
          <cell r="F55">
            <v>28</v>
          </cell>
          <cell r="G55">
            <v>0</v>
          </cell>
          <cell r="H55">
            <v>28</v>
          </cell>
          <cell r="I55">
            <v>28</v>
          </cell>
        </row>
        <row r="56">
          <cell r="E56">
            <v>904</v>
          </cell>
          <cell r="F56">
            <v>7</v>
          </cell>
          <cell r="G56">
            <v>2.125</v>
          </cell>
          <cell r="H56">
            <v>4.875</v>
          </cell>
          <cell r="I56">
            <v>7</v>
          </cell>
        </row>
        <row r="57">
          <cell r="E57">
            <v>1000</v>
          </cell>
          <cell r="F57">
            <v>699.76666999999998</v>
          </cell>
          <cell r="G57">
            <v>72.474999999999994</v>
          </cell>
          <cell r="H57">
            <v>627.29166999999995</v>
          </cell>
          <cell r="I57">
            <v>699.76666999999998</v>
          </cell>
        </row>
        <row r="58">
          <cell r="E58">
            <v>1011</v>
          </cell>
          <cell r="F58">
            <v>73.5</v>
          </cell>
          <cell r="G58">
            <v>0</v>
          </cell>
          <cell r="H58">
            <v>73.5</v>
          </cell>
          <cell r="I58">
            <v>73.5</v>
          </cell>
        </row>
        <row r="59">
          <cell r="E59">
            <v>1012</v>
          </cell>
          <cell r="F59">
            <v>31.266670000000001</v>
          </cell>
          <cell r="G59">
            <v>0</v>
          </cell>
          <cell r="H59">
            <v>31.266670000000001</v>
          </cell>
          <cell r="I59">
            <v>31.266670000000001</v>
          </cell>
        </row>
        <row r="60">
          <cell r="E60">
            <v>1021</v>
          </cell>
          <cell r="F60">
            <v>140</v>
          </cell>
          <cell r="G60">
            <v>0</v>
          </cell>
          <cell r="H60">
            <v>140</v>
          </cell>
          <cell r="I60">
            <v>140</v>
          </cell>
        </row>
        <row r="61">
          <cell r="E61">
            <v>1031</v>
          </cell>
          <cell r="F61">
            <v>7</v>
          </cell>
          <cell r="G61">
            <v>0</v>
          </cell>
          <cell r="H61">
            <v>14</v>
          </cell>
          <cell r="I61">
            <v>14</v>
          </cell>
        </row>
        <row r="62">
          <cell r="E62">
            <v>1032</v>
          </cell>
          <cell r="F62">
            <v>7</v>
          </cell>
          <cell r="G62">
            <v>0</v>
          </cell>
          <cell r="H62">
            <v>0</v>
          </cell>
          <cell r="I62">
            <v>0</v>
          </cell>
        </row>
        <row r="63">
          <cell r="E63">
            <v>1033</v>
          </cell>
          <cell r="F63">
            <v>21</v>
          </cell>
          <cell r="G63">
            <v>0</v>
          </cell>
          <cell r="H63">
            <v>21</v>
          </cell>
          <cell r="I63">
            <v>21</v>
          </cell>
        </row>
        <row r="64">
          <cell r="E64">
            <v>1034</v>
          </cell>
          <cell r="F64">
            <v>21</v>
          </cell>
          <cell r="G64">
            <v>0.375</v>
          </cell>
          <cell r="H64">
            <v>20.625</v>
          </cell>
          <cell r="I64">
            <v>21</v>
          </cell>
        </row>
        <row r="65">
          <cell r="E65">
            <v>1035</v>
          </cell>
          <cell r="F65">
            <v>21</v>
          </cell>
          <cell r="G65">
            <v>0</v>
          </cell>
          <cell r="H65">
            <v>21</v>
          </cell>
          <cell r="I65">
            <v>21</v>
          </cell>
        </row>
        <row r="66">
          <cell r="E66">
            <v>1036</v>
          </cell>
          <cell r="F66">
            <v>35</v>
          </cell>
          <cell r="G66">
            <v>0</v>
          </cell>
          <cell r="H66">
            <v>35</v>
          </cell>
          <cell r="I66">
            <v>35</v>
          </cell>
        </row>
        <row r="67">
          <cell r="E67">
            <v>1037</v>
          </cell>
          <cell r="F67">
            <v>28</v>
          </cell>
          <cell r="G67">
            <v>5.6</v>
          </cell>
          <cell r="H67">
            <v>22.4</v>
          </cell>
          <cell r="I67">
            <v>28</v>
          </cell>
        </row>
        <row r="68">
          <cell r="E68">
            <v>1038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E69">
            <v>1041</v>
          </cell>
          <cell r="F69">
            <v>42</v>
          </cell>
          <cell r="G69">
            <v>0</v>
          </cell>
          <cell r="H69">
            <v>42</v>
          </cell>
          <cell r="I69">
            <v>42</v>
          </cell>
        </row>
        <row r="70">
          <cell r="E70">
            <v>1042</v>
          </cell>
          <cell r="F70">
            <v>10.5</v>
          </cell>
          <cell r="G70">
            <v>0</v>
          </cell>
          <cell r="H70">
            <v>10.5</v>
          </cell>
          <cell r="I70">
            <v>10.5</v>
          </cell>
        </row>
        <row r="71">
          <cell r="E71">
            <v>1043</v>
          </cell>
          <cell r="F71">
            <v>15.75</v>
          </cell>
          <cell r="G71">
            <v>0</v>
          </cell>
          <cell r="H71">
            <v>15.75</v>
          </cell>
          <cell r="I71">
            <v>15.75</v>
          </cell>
        </row>
        <row r="72">
          <cell r="E72">
            <v>1044</v>
          </cell>
          <cell r="F72">
            <v>36.75</v>
          </cell>
          <cell r="G72">
            <v>0</v>
          </cell>
          <cell r="H72">
            <v>36.75</v>
          </cell>
          <cell r="I72">
            <v>36.75</v>
          </cell>
        </row>
        <row r="73">
          <cell r="E73">
            <v>1051</v>
          </cell>
          <cell r="F73">
            <v>56</v>
          </cell>
          <cell r="G73">
            <v>0</v>
          </cell>
          <cell r="H73">
            <v>56</v>
          </cell>
          <cell r="I73">
            <v>56</v>
          </cell>
        </row>
        <row r="74">
          <cell r="E74">
            <v>1052</v>
          </cell>
          <cell r="F74">
            <v>14</v>
          </cell>
          <cell r="G74">
            <v>0</v>
          </cell>
          <cell r="H74">
            <v>14</v>
          </cell>
          <cell r="I74">
            <v>14</v>
          </cell>
        </row>
        <row r="75">
          <cell r="E75">
            <v>1053</v>
          </cell>
          <cell r="F75">
            <v>56</v>
          </cell>
          <cell r="G75">
            <v>0</v>
          </cell>
          <cell r="H75">
            <v>56</v>
          </cell>
          <cell r="I75">
            <v>56</v>
          </cell>
        </row>
        <row r="76">
          <cell r="E76">
            <v>1054</v>
          </cell>
          <cell r="F76">
            <v>14</v>
          </cell>
          <cell r="G76">
            <v>0</v>
          </cell>
          <cell r="H76">
            <v>14</v>
          </cell>
          <cell r="I76">
            <v>14</v>
          </cell>
        </row>
        <row r="77">
          <cell r="E77">
            <v>1061</v>
          </cell>
          <cell r="F77">
            <v>56</v>
          </cell>
          <cell r="G77">
            <v>56</v>
          </cell>
          <cell r="H77">
            <v>0</v>
          </cell>
          <cell r="I77">
            <v>56</v>
          </cell>
        </row>
        <row r="78">
          <cell r="E78">
            <v>1062</v>
          </cell>
          <cell r="F78">
            <v>14</v>
          </cell>
          <cell r="G78">
            <v>10.5</v>
          </cell>
          <cell r="H78">
            <v>3.5</v>
          </cell>
          <cell r="I78">
            <v>14</v>
          </cell>
        </row>
        <row r="79">
          <cell r="E79">
            <v>1100</v>
          </cell>
          <cell r="F79">
            <v>420</v>
          </cell>
          <cell r="G79">
            <v>71.400000000000006</v>
          </cell>
          <cell r="H79">
            <v>348.6</v>
          </cell>
          <cell r="I79">
            <v>420</v>
          </cell>
        </row>
        <row r="80">
          <cell r="E80">
            <v>1111</v>
          </cell>
          <cell r="F80">
            <v>42</v>
          </cell>
          <cell r="G80">
            <v>0</v>
          </cell>
          <cell r="H80">
            <v>42</v>
          </cell>
          <cell r="I80">
            <v>42</v>
          </cell>
        </row>
        <row r="81">
          <cell r="E81">
            <v>1121</v>
          </cell>
          <cell r="F81">
            <v>126</v>
          </cell>
          <cell r="G81">
            <v>0</v>
          </cell>
          <cell r="H81">
            <v>126</v>
          </cell>
          <cell r="I81">
            <v>126</v>
          </cell>
        </row>
        <row r="82">
          <cell r="E82">
            <v>1131</v>
          </cell>
          <cell r="F82">
            <v>126</v>
          </cell>
          <cell r="G82">
            <v>31.5</v>
          </cell>
          <cell r="H82">
            <v>94.5</v>
          </cell>
          <cell r="I82">
            <v>126</v>
          </cell>
        </row>
        <row r="83">
          <cell r="E83">
            <v>1141</v>
          </cell>
          <cell r="F83">
            <v>84</v>
          </cell>
          <cell r="G83">
            <v>18.899999999999999</v>
          </cell>
          <cell r="H83">
            <v>65.099999999999994</v>
          </cell>
          <cell r="I83">
            <v>84</v>
          </cell>
        </row>
        <row r="84">
          <cell r="E84">
            <v>1151</v>
          </cell>
          <cell r="F84">
            <v>42</v>
          </cell>
          <cell r="G84">
            <v>21</v>
          </cell>
          <cell r="H84">
            <v>21</v>
          </cell>
          <cell r="I84">
            <v>42</v>
          </cell>
        </row>
        <row r="85">
          <cell r="E85">
            <v>1200</v>
          </cell>
          <cell r="F85">
            <v>233.33332999999999</v>
          </cell>
          <cell r="G85">
            <v>0</v>
          </cell>
          <cell r="H85">
            <v>233.33332999999999</v>
          </cell>
          <cell r="I85">
            <v>233.33332999999999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E87">
            <v>1201</v>
          </cell>
          <cell r="F87">
            <v>116.66667</v>
          </cell>
          <cell r="G87">
            <v>0</v>
          </cell>
          <cell r="H87">
            <v>116.66667</v>
          </cell>
          <cell r="I87">
            <v>116.66667</v>
          </cell>
        </row>
        <row r="88">
          <cell r="E88">
            <v>1202</v>
          </cell>
          <cell r="F88">
            <v>116.66667</v>
          </cell>
          <cell r="G88">
            <v>0</v>
          </cell>
          <cell r="H88">
            <v>116.66667</v>
          </cell>
          <cell r="I88">
            <v>116.66667</v>
          </cell>
        </row>
        <row r="89">
          <cell r="E89">
            <v>1300</v>
          </cell>
          <cell r="F89">
            <v>93.333330000000004</v>
          </cell>
          <cell r="G89">
            <v>0</v>
          </cell>
          <cell r="H89">
            <v>93.333330000000004</v>
          </cell>
          <cell r="I89">
            <v>93.333330000000004</v>
          </cell>
        </row>
        <row r="90">
          <cell r="E90">
            <v>1301</v>
          </cell>
          <cell r="F90">
            <v>46.666670000000003</v>
          </cell>
          <cell r="G90">
            <v>0</v>
          </cell>
          <cell r="H90">
            <v>46.666670000000003</v>
          </cell>
          <cell r="I90">
            <v>46.666670000000003</v>
          </cell>
        </row>
        <row r="91">
          <cell r="E91">
            <v>1302</v>
          </cell>
          <cell r="F91">
            <v>46.666670000000003</v>
          </cell>
          <cell r="G91">
            <v>0</v>
          </cell>
          <cell r="H91">
            <v>46.666670000000003</v>
          </cell>
          <cell r="I91">
            <v>46.666670000000003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E93">
            <v>1400</v>
          </cell>
          <cell r="F93">
            <v>93.333330000000004</v>
          </cell>
          <cell r="G93">
            <v>9</v>
          </cell>
          <cell r="H93">
            <v>84.333330000000004</v>
          </cell>
          <cell r="I93">
            <v>93.333330000000004</v>
          </cell>
        </row>
        <row r="94">
          <cell r="E94">
            <v>1411</v>
          </cell>
          <cell r="F94">
            <v>28</v>
          </cell>
          <cell r="G94">
            <v>0</v>
          </cell>
          <cell r="H94">
            <v>28</v>
          </cell>
          <cell r="I94">
            <v>28</v>
          </cell>
        </row>
        <row r="95">
          <cell r="E95">
            <v>1421</v>
          </cell>
          <cell r="F95">
            <v>51.333329999999997</v>
          </cell>
          <cell r="G95">
            <v>0</v>
          </cell>
          <cell r="H95">
            <v>51.333329999999997</v>
          </cell>
          <cell r="I95">
            <v>51.333329999999997</v>
          </cell>
        </row>
        <row r="96">
          <cell r="E96">
            <v>1431</v>
          </cell>
          <cell r="F96">
            <v>14</v>
          </cell>
          <cell r="G96">
            <v>9</v>
          </cell>
          <cell r="H96">
            <v>5</v>
          </cell>
          <cell r="I96">
            <v>14</v>
          </cell>
        </row>
        <row r="97">
          <cell r="E97">
            <v>1500</v>
          </cell>
          <cell r="F97">
            <v>0</v>
          </cell>
          <cell r="G97">
            <v>1.3333299999999999</v>
          </cell>
          <cell r="H97">
            <v>5.3333300000000001</v>
          </cell>
          <cell r="I97">
            <v>6.6666699999999999</v>
          </cell>
        </row>
        <row r="98">
          <cell r="E98">
            <v>1511</v>
          </cell>
          <cell r="F98">
            <v>0</v>
          </cell>
          <cell r="G98">
            <v>0</v>
          </cell>
          <cell r="H98">
            <v>5.3333300000000001</v>
          </cell>
          <cell r="I98">
            <v>5.3333300000000001</v>
          </cell>
        </row>
        <row r="99">
          <cell r="E99">
            <v>1521</v>
          </cell>
          <cell r="F99">
            <v>0</v>
          </cell>
          <cell r="G99">
            <v>1.3333299999999999</v>
          </cell>
          <cell r="H99">
            <v>0</v>
          </cell>
          <cell r="I99">
            <v>1.3333299999999999</v>
          </cell>
        </row>
        <row r="100">
          <cell r="E100">
            <v>1600</v>
          </cell>
          <cell r="F100">
            <v>140</v>
          </cell>
          <cell r="G100">
            <v>23.33333</v>
          </cell>
          <cell r="H100">
            <v>110</v>
          </cell>
          <cell r="I100">
            <v>133.33332999999999</v>
          </cell>
        </row>
        <row r="101">
          <cell r="E101">
            <v>1611</v>
          </cell>
          <cell r="F101">
            <v>84</v>
          </cell>
          <cell r="G101">
            <v>0</v>
          </cell>
          <cell r="H101">
            <v>80</v>
          </cell>
          <cell r="I101">
            <v>80</v>
          </cell>
        </row>
        <row r="102">
          <cell r="E102">
            <v>1621</v>
          </cell>
          <cell r="F102">
            <v>21</v>
          </cell>
          <cell r="G102">
            <v>20</v>
          </cell>
          <cell r="H102">
            <v>0</v>
          </cell>
          <cell r="I102">
            <v>20</v>
          </cell>
        </row>
        <row r="103">
          <cell r="E103">
            <v>1631</v>
          </cell>
          <cell r="F103">
            <v>28</v>
          </cell>
          <cell r="G103">
            <v>0</v>
          </cell>
          <cell r="H103">
            <v>26.66667</v>
          </cell>
          <cell r="I103">
            <v>26.66667</v>
          </cell>
        </row>
        <row r="104">
          <cell r="E104">
            <v>1641</v>
          </cell>
          <cell r="F104">
            <v>7</v>
          </cell>
          <cell r="G104">
            <v>3.3333300000000001</v>
          </cell>
          <cell r="H104">
            <v>3.3333300000000001</v>
          </cell>
          <cell r="I104">
            <v>6.6666699999999999</v>
          </cell>
        </row>
        <row r="105">
          <cell r="E105">
            <v>1700</v>
          </cell>
          <cell r="F105">
            <v>93.333330000000004</v>
          </cell>
          <cell r="G105">
            <v>0</v>
          </cell>
          <cell r="H105">
            <v>93.333330000000004</v>
          </cell>
          <cell r="I105">
            <v>93.333330000000004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E107">
            <v>1711</v>
          </cell>
          <cell r="F107">
            <v>39.666670000000003</v>
          </cell>
          <cell r="G107">
            <v>0</v>
          </cell>
          <cell r="H107">
            <v>39.666670000000003</v>
          </cell>
          <cell r="I107">
            <v>39.666670000000003</v>
          </cell>
        </row>
        <row r="108">
          <cell r="E108">
            <v>1712</v>
          </cell>
          <cell r="F108">
            <v>39.666670000000003</v>
          </cell>
          <cell r="G108">
            <v>0</v>
          </cell>
          <cell r="H108">
            <v>39.666670000000003</v>
          </cell>
          <cell r="I108">
            <v>39.666670000000003</v>
          </cell>
        </row>
        <row r="109">
          <cell r="E109">
            <v>1721</v>
          </cell>
          <cell r="F109">
            <v>5.6</v>
          </cell>
          <cell r="G109">
            <v>0</v>
          </cell>
          <cell r="H109">
            <v>5.6</v>
          </cell>
          <cell r="I109">
            <v>5.6</v>
          </cell>
        </row>
        <row r="110">
          <cell r="E110">
            <v>1722</v>
          </cell>
          <cell r="F110">
            <v>8.4</v>
          </cell>
          <cell r="G110">
            <v>0</v>
          </cell>
          <cell r="H110">
            <v>8.4</v>
          </cell>
          <cell r="I110">
            <v>8.4</v>
          </cell>
        </row>
        <row r="111">
          <cell r="E111">
            <v>1800</v>
          </cell>
          <cell r="F111">
            <v>186.66667000000001</v>
          </cell>
          <cell r="G111">
            <v>186.66667000000001</v>
          </cell>
          <cell r="H111">
            <v>0</v>
          </cell>
          <cell r="I111">
            <v>186.66667000000001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ler"/>
      <sheetName val="ISTDUV_KUR"/>
    </sheetNames>
    <sheetDataSet>
      <sheetData sheetId="0" refreshError="1">
        <row r="2">
          <cell r="A2" t="str">
            <v>BO</v>
          </cell>
          <cell r="B2">
            <v>1077.557</v>
          </cell>
          <cell r="C2">
            <v>4050000</v>
          </cell>
        </row>
        <row r="3">
          <cell r="A3" t="str">
            <v>CO</v>
          </cell>
          <cell r="B3">
            <v>1346.0029999999999</v>
          </cell>
          <cell r="C3">
            <v>4050000</v>
          </cell>
        </row>
        <row r="4">
          <cell r="A4" t="str">
            <v>BK</v>
          </cell>
          <cell r="B4">
            <v>1085.028</v>
          </cell>
          <cell r="C4">
            <v>4350000</v>
          </cell>
        </row>
        <row r="5">
          <cell r="A5" t="str">
            <v>CK</v>
          </cell>
          <cell r="B5">
            <v>1353.4110000000001</v>
          </cell>
          <cell r="C5">
            <v>4330000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enel bilgiler"/>
    </sheetNames>
    <sheetDataSet>
      <sheetData sheetId="0" refreshError="1">
        <row r="2">
          <cell r="A2" t="str">
            <v>BO</v>
          </cell>
          <cell r="B2">
            <v>1077.557</v>
          </cell>
          <cell r="C2">
            <v>4050000</v>
          </cell>
        </row>
        <row r="3">
          <cell r="A3" t="str">
            <v>CO</v>
          </cell>
          <cell r="B3">
            <v>1346.0029999999999</v>
          </cell>
          <cell r="C3">
            <v>4050000</v>
          </cell>
        </row>
        <row r="4">
          <cell r="A4" t="str">
            <v>BK</v>
          </cell>
          <cell r="B4">
            <v>1085.028</v>
          </cell>
          <cell r="C4">
            <v>4350000</v>
          </cell>
        </row>
        <row r="5">
          <cell r="A5" t="str">
            <v>CK</v>
          </cell>
          <cell r="B5">
            <v>1353.4110000000001</v>
          </cell>
          <cell r="C5">
            <v>4330000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GENERAL EXPENSES"/>
      <sheetName val="LABOUR UNIT COST"/>
      <sheetName val="ASSISTING ANALYSES"/>
    </sheetNames>
    <sheetDataSet>
      <sheetData sheetId="0" refreshError="1"/>
      <sheetData sheetId="1" refreshError="1"/>
      <sheetData sheetId="2" refreshError="1">
        <row r="7">
          <cell r="H7">
            <v>115.74074074074075</v>
          </cell>
        </row>
        <row r="8">
          <cell r="N8">
            <v>101.85185185185185</v>
          </cell>
        </row>
        <row r="11">
          <cell r="D11">
            <v>36.388888888888886</v>
          </cell>
          <cell r="H11">
            <v>972.22222222222217</v>
          </cell>
        </row>
        <row r="14">
          <cell r="H14">
            <v>555.55555555555554</v>
          </cell>
        </row>
        <row r="16">
          <cell r="N16">
            <v>208.33333333333331</v>
          </cell>
        </row>
        <row r="26">
          <cell r="D26">
            <v>15.185185185185183</v>
          </cell>
        </row>
        <row r="31">
          <cell r="H31">
            <v>232.77777777777777</v>
          </cell>
        </row>
        <row r="32">
          <cell r="H32">
            <v>62.5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SSISTING ANALYSES"/>
      <sheetName val="MANPOWER"/>
      <sheetName val="NEW GENERAL EXPENSES"/>
      <sheetName val="U.P.A SUMMARY"/>
      <sheetName val="UNIT PRICE ANALYSIS (U.P.A)"/>
      <sheetName val="PRELIMS"/>
      <sheetName val="SITE WORK"/>
      <sheetName val="CONCRETE"/>
      <sheetName val="MASONRY"/>
      <sheetName val="METAL WORK main bldg"/>
      <sheetName val="THERMAL"/>
      <sheetName val="PROVISIONAL SUMS"/>
      <sheetName val="DAY WORKS"/>
      <sheetName val="TEN ADJ"/>
      <sheetName val="INDEX"/>
      <sheetName val="SUMMARY"/>
      <sheetName val="ISTDUV_KUR"/>
    </sheetNames>
    <sheetDataSet>
      <sheetData sheetId="0" refreshError="1"/>
      <sheetData sheetId="1" refreshError="1">
        <row r="5">
          <cell r="Y5">
            <v>1</v>
          </cell>
        </row>
        <row r="6">
          <cell r="H6">
            <v>11058.148148148148</v>
          </cell>
          <cell r="Y6">
            <v>1</v>
          </cell>
        </row>
        <row r="9">
          <cell r="H9">
            <v>5530.3703703703704</v>
          </cell>
        </row>
        <row r="10">
          <cell r="H10">
            <v>5030.3703703703704</v>
          </cell>
        </row>
        <row r="11">
          <cell r="H11">
            <v>5530.3703703703704</v>
          </cell>
        </row>
        <row r="16">
          <cell r="H16">
            <v>5030.3703703703704</v>
          </cell>
          <cell r="Z16">
            <v>1</v>
          </cell>
        </row>
        <row r="17">
          <cell r="H17">
            <v>0</v>
          </cell>
          <cell r="S17">
            <v>2654.4444444444443</v>
          </cell>
        </row>
        <row r="18">
          <cell r="H18">
            <v>0</v>
          </cell>
          <cell r="S18">
            <v>1404.4444444444446</v>
          </cell>
        </row>
        <row r="19">
          <cell r="S19">
            <v>1404.4444444444446</v>
          </cell>
        </row>
        <row r="20">
          <cell r="S20">
            <v>1404.4444444444446</v>
          </cell>
        </row>
        <row r="21">
          <cell r="Z21">
            <v>0</v>
          </cell>
        </row>
        <row r="40">
          <cell r="H40">
            <v>7558.1481481481478</v>
          </cell>
        </row>
        <row r="41">
          <cell r="H41">
            <v>4030.3703703703704</v>
          </cell>
        </row>
        <row r="42">
          <cell r="S42">
            <v>4762.5</v>
          </cell>
        </row>
        <row r="43">
          <cell r="H43">
            <v>3700</v>
          </cell>
        </row>
        <row r="44">
          <cell r="H44">
            <v>4000</v>
          </cell>
        </row>
        <row r="45">
          <cell r="S45">
            <v>562.5</v>
          </cell>
        </row>
        <row r="46">
          <cell r="S46">
            <v>278.88888888888891</v>
          </cell>
        </row>
        <row r="57">
          <cell r="H57">
            <v>3173.8888888888891</v>
          </cell>
        </row>
        <row r="64">
          <cell r="S64">
            <v>0</v>
          </cell>
        </row>
        <row r="65">
          <cell r="S65">
            <v>0</v>
          </cell>
        </row>
        <row r="66">
          <cell r="S66">
            <v>0</v>
          </cell>
        </row>
        <row r="67">
          <cell r="S67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&amp;D"/>
      <sheetName val="PRICED"/>
      <sheetName val="Sheet1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ön sayfa"/>
      <sheetName val="2.tahakkuk"/>
      <sheetName val="3.arka sayfa"/>
      <sheetName val="4.icmal"/>
      <sheetName val="4.a .teminat"/>
      <sheetName val="5.öd.gün hes."/>
      <sheetName val="6.eskolasyon"/>
      <sheetName val="6-a.Fat.ihz"/>
      <sheetName val="7.proje bedeli"/>
      <sheetName val="8.imalat keş.öz"/>
      <sheetName val="9.10.seviye icmali"/>
      <sheetName val="11-44.imal.sev.tab."/>
      <sheetName val="45.ihzarat icmal"/>
      <sheetName val="46.46-1.ihz.şant. içi"/>
      <sheetName val="47,54,58.İhzarat tutanakları"/>
      <sheetName val="48.ihz. şant.dışı"/>
      <sheetName val="49-53.ihz.tesisat"/>
      <sheetName val="55.ihz.elk.kuvvet"/>
      <sheetName val="56-57.İhz.elk.zayıf"/>
      <sheetName val="57-1.ihz.elk.eritme"/>
      <sheetName val="59.fiat farkı icmal"/>
      <sheetName val="60.d.ff"/>
      <sheetName val="61.d.ff.ih.t."/>
      <sheetName val="62.d.irs."/>
      <sheetName val="63.ç.ff"/>
      <sheetName val="64.ç.ff.im.t."/>
      <sheetName val="65.ç.iml"/>
      <sheetName val="66.a.ff"/>
      <sheetName val="67.a.ff.im.t."/>
      <sheetName val="68.a.iml"/>
      <sheetName val="demi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çev.söz.metraj"/>
      <sheetName val="irsaliye tesbit4-5"/>
      <sheetName val="demir"/>
      <sheetName val="eritme"/>
      <sheetName val="irsaliye"/>
      <sheetName val="tutanak"/>
      <sheetName val="met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rsaliye tesbit4-5"/>
      <sheetName val="demir"/>
      <sheetName val="eritme"/>
      <sheetName val="metin"/>
      <sheetName val="çev.söz.metraj"/>
      <sheetName val="irsaliye"/>
      <sheetName val="tutanak"/>
    </sheetNames>
    <sheetDataSet>
      <sheetData sheetId="0" refreshError="1">
        <row r="2">
          <cell r="N2" t="str">
            <v>SAYFA NO :1</v>
          </cell>
          <cell r="U2" t="str">
            <v>SAYFA NO :2</v>
          </cell>
          <cell r="AB2" t="str">
            <v>SAYFA NO :3</v>
          </cell>
          <cell r="AI2" t="str">
            <v>SAYFA NO :4</v>
          </cell>
          <cell r="AP2" t="str">
            <v>SAYFA NO :5</v>
          </cell>
        </row>
        <row r="3">
          <cell r="K3" t="str">
            <v xml:space="preserve">                  İRSALİYE TESBİT TUTANAĞI</v>
          </cell>
          <cell r="R3" t="str">
            <v xml:space="preserve">        İRSALİYE TESBİT TUTANAĞI</v>
          </cell>
          <cell r="Y3" t="str">
            <v xml:space="preserve">       İRSALİYE TESBİT TUTANAĞI</v>
          </cell>
          <cell r="AF3" t="str">
            <v xml:space="preserve">       İRSALİYE TESBİT TUTANAĞI</v>
          </cell>
          <cell r="AM3" t="str">
            <v xml:space="preserve">        İRSALİYE TESBİT TUTANAĞI</v>
          </cell>
        </row>
        <row r="5">
          <cell r="I5" t="str">
            <v>TARİH</v>
          </cell>
          <cell r="J5" t="str">
            <v xml:space="preserve">GELDİĞİ FİRMA </v>
          </cell>
          <cell r="K5" t="str">
            <v>MALZEME CİNSİ</v>
          </cell>
          <cell r="L5" t="str">
            <v>BİRİMİ</v>
          </cell>
          <cell r="M5" t="str">
            <v>MİKTARI</v>
          </cell>
          <cell r="N5" t="str">
            <v>İRSALİYE NO</v>
          </cell>
          <cell r="P5" t="str">
            <v>TARİH</v>
          </cell>
          <cell r="Q5" t="str">
            <v xml:space="preserve">GELDİĞİ FİRMA </v>
          </cell>
          <cell r="R5" t="str">
            <v>MALZEME CİNSİ</v>
          </cell>
          <cell r="S5" t="str">
            <v>BİRİMİ</v>
          </cell>
          <cell r="T5" t="str">
            <v>MİKTARI</v>
          </cell>
          <cell r="U5" t="str">
            <v>İRSALİYE NO</v>
          </cell>
          <cell r="W5" t="str">
            <v>TARİH</v>
          </cell>
          <cell r="X5" t="str">
            <v xml:space="preserve">GELDİĞİ FİRMA </v>
          </cell>
          <cell r="Y5" t="str">
            <v>MALZEME CİNSİ</v>
          </cell>
          <cell r="Z5" t="str">
            <v>BİRİMİ</v>
          </cell>
          <cell r="AA5" t="str">
            <v>MİKTARI</v>
          </cell>
          <cell r="AB5" t="str">
            <v>İRSALİYE NO</v>
          </cell>
          <cell r="AD5" t="str">
            <v>TARİH</v>
          </cell>
          <cell r="AE5" t="str">
            <v xml:space="preserve">GELDİĞİ FİRMA </v>
          </cell>
          <cell r="AF5" t="str">
            <v>MALZEME CİNSİ</v>
          </cell>
          <cell r="AG5" t="str">
            <v>BİRİMİ</v>
          </cell>
          <cell r="AH5" t="str">
            <v>MİKTARI</v>
          </cell>
          <cell r="AI5" t="str">
            <v>İRSALİYE NO</v>
          </cell>
          <cell r="AK5" t="str">
            <v>TARİH</v>
          </cell>
          <cell r="AL5" t="str">
            <v xml:space="preserve">GELDİĞİ FİRMA </v>
          </cell>
          <cell r="AM5" t="str">
            <v>MALZEME CİNSİ</v>
          </cell>
          <cell r="AN5" t="str">
            <v>BİRİMİ</v>
          </cell>
          <cell r="AO5" t="str">
            <v>MİKTARI</v>
          </cell>
          <cell r="AP5" t="str">
            <v>İRSALİYE NO</v>
          </cell>
        </row>
        <row r="6">
          <cell r="I6">
            <v>34958</v>
          </cell>
          <cell r="J6" t="str">
            <v>YTONG A.Ş.</v>
          </cell>
          <cell r="K6" t="str">
            <v>Ytong 18 G2 60*25*13,5</v>
          </cell>
          <cell r="L6" t="str">
            <v>m2</v>
          </cell>
          <cell r="M6">
            <v>148500</v>
          </cell>
          <cell r="N6">
            <v>917892</v>
          </cell>
          <cell r="P6" t="str">
            <v>10/101995</v>
          </cell>
          <cell r="Q6" t="str">
            <v>YTONG A.Ş.</v>
          </cell>
          <cell r="R6" t="str">
            <v xml:space="preserve">Ytong TX G2 60*25*8.5  </v>
          </cell>
          <cell r="S6" t="str">
            <v>m2</v>
          </cell>
          <cell r="T6">
            <v>243000</v>
          </cell>
          <cell r="U6">
            <v>919444</v>
          </cell>
          <cell r="W6">
            <v>34963</v>
          </cell>
          <cell r="X6" t="str">
            <v>FIRAT PLASTİK</v>
          </cell>
          <cell r="Y6" t="str">
            <v>50/150 PVC atık su borusu</v>
          </cell>
          <cell r="Z6" t="str">
            <v>Adet</v>
          </cell>
          <cell r="AA6">
            <v>1500</v>
          </cell>
          <cell r="AB6">
            <v>566548</v>
          </cell>
          <cell r="AD6">
            <v>34985</v>
          </cell>
          <cell r="AE6" t="str">
            <v>OĞUZ MERMER SAN.</v>
          </cell>
          <cell r="AF6" t="str">
            <v>3cm perdahlı marmara mermeri</v>
          </cell>
          <cell r="AG6" t="str">
            <v>m2</v>
          </cell>
          <cell r="AH6">
            <v>117020</v>
          </cell>
          <cell r="AI6">
            <v>534835</v>
          </cell>
          <cell r="AK6">
            <v>34979</v>
          </cell>
          <cell r="AL6" t="str">
            <v>BİAT MÖBLE</v>
          </cell>
          <cell r="AM6" t="str">
            <v>Kapı 192*90*16.5</v>
          </cell>
          <cell r="AN6" t="str">
            <v>Adet</v>
          </cell>
          <cell r="AO6">
            <v>3</v>
          </cell>
          <cell r="AP6">
            <v>557422</v>
          </cell>
        </row>
        <row r="7">
          <cell r="I7">
            <v>34958</v>
          </cell>
          <cell r="J7" t="str">
            <v>YTONG A.Ş.</v>
          </cell>
          <cell r="K7" t="str">
            <v>Ytong 18 G2 60*25*13,5</v>
          </cell>
          <cell r="L7" t="str">
            <v>m2</v>
          </cell>
          <cell r="M7">
            <v>148500</v>
          </cell>
          <cell r="N7">
            <v>917935</v>
          </cell>
          <cell r="P7">
            <v>34983</v>
          </cell>
          <cell r="Q7" t="str">
            <v>YTONG A.Ş.</v>
          </cell>
          <cell r="R7" t="str">
            <v xml:space="preserve">Ytong TX G2 60*25*8.5  </v>
          </cell>
          <cell r="S7" t="str">
            <v>m2</v>
          </cell>
          <cell r="T7">
            <v>243000</v>
          </cell>
          <cell r="U7">
            <v>919537</v>
          </cell>
          <cell r="W7">
            <v>34963</v>
          </cell>
          <cell r="X7" t="str">
            <v>FIRAT PLASTİK</v>
          </cell>
          <cell r="Y7" t="str">
            <v>50/250 PVC atık su borusu</v>
          </cell>
          <cell r="Z7" t="str">
            <v>Adet</v>
          </cell>
          <cell r="AA7">
            <v>300</v>
          </cell>
          <cell r="AB7">
            <v>566548</v>
          </cell>
          <cell r="AD7">
            <v>34988</v>
          </cell>
          <cell r="AE7" t="str">
            <v>OĞUZ MERMER SAN.</v>
          </cell>
          <cell r="AF7" t="str">
            <v>2cm ham marmara mermeri</v>
          </cell>
          <cell r="AG7" t="str">
            <v>m2</v>
          </cell>
          <cell r="AH7">
            <v>207510</v>
          </cell>
          <cell r="AI7">
            <v>534839</v>
          </cell>
          <cell r="AK7">
            <v>34979</v>
          </cell>
          <cell r="AL7" t="str">
            <v>BİAT MÖBLE</v>
          </cell>
          <cell r="AM7" t="str">
            <v>Kapı 189*87*16.5</v>
          </cell>
          <cell r="AN7" t="str">
            <v>Adet</v>
          </cell>
          <cell r="AO7">
            <v>4</v>
          </cell>
          <cell r="AP7">
            <v>557422</v>
          </cell>
        </row>
        <row r="8">
          <cell r="I8">
            <v>34958</v>
          </cell>
          <cell r="J8" t="str">
            <v>YTONG A.Ş.</v>
          </cell>
          <cell r="K8" t="str">
            <v>Ytong 18 G2 60*25*13,5</v>
          </cell>
          <cell r="L8" t="str">
            <v>m2</v>
          </cell>
          <cell r="M8">
            <v>148500</v>
          </cell>
          <cell r="N8">
            <v>917924</v>
          </cell>
          <cell r="P8">
            <v>34985</v>
          </cell>
          <cell r="Q8" t="str">
            <v>YTONG A.Ş.</v>
          </cell>
          <cell r="R8" t="str">
            <v xml:space="preserve">Ytong TX G2 60*25*8.5  </v>
          </cell>
          <cell r="S8" t="str">
            <v>m2</v>
          </cell>
          <cell r="T8">
            <v>243000</v>
          </cell>
          <cell r="U8">
            <v>919672</v>
          </cell>
          <cell r="W8">
            <v>34963</v>
          </cell>
          <cell r="X8" t="str">
            <v>FIRAT PLASTİK</v>
          </cell>
          <cell r="Y8" t="str">
            <v>70/150 PVC atık su borusu</v>
          </cell>
          <cell r="Z8" t="str">
            <v>Adet</v>
          </cell>
          <cell r="AA8">
            <v>520</v>
          </cell>
          <cell r="AB8">
            <v>566548</v>
          </cell>
          <cell r="AD8">
            <v>34979</v>
          </cell>
          <cell r="AE8" t="str">
            <v>ÖZKAHRAMAN</v>
          </cell>
          <cell r="AF8" t="str">
            <v>13.5' luk blok tuğla</v>
          </cell>
          <cell r="AG8" t="str">
            <v>Adet</v>
          </cell>
          <cell r="AH8">
            <v>8250</v>
          </cell>
          <cell r="AI8">
            <v>55556</v>
          </cell>
          <cell r="AK8">
            <v>34979</v>
          </cell>
          <cell r="AL8" t="str">
            <v>BİAT MÖBLE</v>
          </cell>
          <cell r="AM8" t="str">
            <v>Kapı 188*84*16.5</v>
          </cell>
          <cell r="AN8" t="str">
            <v>Adet</v>
          </cell>
          <cell r="AO8">
            <v>1</v>
          </cell>
          <cell r="AP8">
            <v>557422</v>
          </cell>
        </row>
        <row r="9">
          <cell r="I9">
            <v>34958</v>
          </cell>
          <cell r="J9" t="str">
            <v>YTONG A.Ş.</v>
          </cell>
          <cell r="K9" t="str">
            <v>Ytong 18 G2 60*25*13,5</v>
          </cell>
          <cell r="L9" t="str">
            <v>m2</v>
          </cell>
          <cell r="M9">
            <v>148500</v>
          </cell>
          <cell r="N9">
            <v>917936</v>
          </cell>
          <cell r="P9">
            <v>34958</v>
          </cell>
          <cell r="Q9" t="str">
            <v>YTONG A.Ş.</v>
          </cell>
          <cell r="R9" t="str">
            <v xml:space="preserve">Ytong TX G2 60*25*8.5  </v>
          </cell>
          <cell r="S9" t="str">
            <v>m2</v>
          </cell>
          <cell r="T9">
            <v>243000</v>
          </cell>
          <cell r="U9">
            <v>917885</v>
          </cell>
          <cell r="W9">
            <v>34963</v>
          </cell>
          <cell r="X9" t="str">
            <v>FIRAT PLASTİK</v>
          </cell>
          <cell r="Y9" t="str">
            <v>100/3000 PVC atık su borusu</v>
          </cell>
          <cell r="Z9" t="str">
            <v>Adet</v>
          </cell>
          <cell r="AA9">
            <v>15</v>
          </cell>
          <cell r="AB9">
            <v>566548</v>
          </cell>
          <cell r="AD9">
            <v>34981</v>
          </cell>
          <cell r="AE9" t="str">
            <v>ÖZKAHRAMAN</v>
          </cell>
          <cell r="AF9" t="str">
            <v>13.5' luk blok tuğla</v>
          </cell>
          <cell r="AG9" t="str">
            <v>Adet</v>
          </cell>
          <cell r="AH9">
            <v>7050</v>
          </cell>
          <cell r="AI9">
            <v>55571</v>
          </cell>
          <cell r="AK9">
            <v>34979</v>
          </cell>
          <cell r="AL9" t="str">
            <v>BİAT MÖBLE</v>
          </cell>
          <cell r="AM9" t="str">
            <v>Kapı kanadı 198*84</v>
          </cell>
          <cell r="AN9" t="str">
            <v>Adet</v>
          </cell>
          <cell r="AO9">
            <v>4</v>
          </cell>
          <cell r="AP9">
            <v>557422</v>
          </cell>
        </row>
        <row r="10">
          <cell r="I10">
            <v>34958</v>
          </cell>
          <cell r="J10" t="str">
            <v>YTONG A.Ş.</v>
          </cell>
          <cell r="K10" t="str">
            <v>Ytong 18 G2 60*25*13,5</v>
          </cell>
          <cell r="L10" t="str">
            <v>m2</v>
          </cell>
          <cell r="M10">
            <v>148500</v>
          </cell>
          <cell r="N10">
            <v>917937</v>
          </cell>
          <cell r="P10">
            <v>34961</v>
          </cell>
          <cell r="Q10" t="str">
            <v>YTONG A.Ş.</v>
          </cell>
          <cell r="R10" t="str">
            <v xml:space="preserve">Ytong TX G2 60*25*8.5  </v>
          </cell>
          <cell r="S10" t="str">
            <v>m2</v>
          </cell>
          <cell r="T10">
            <v>243000</v>
          </cell>
          <cell r="U10">
            <v>918085</v>
          </cell>
          <cell r="W10">
            <v>34979</v>
          </cell>
          <cell r="X10" t="str">
            <v>ÇESAN</v>
          </cell>
          <cell r="Y10" t="str">
            <v>Q131/131(530*215)+R257(470*215)</v>
          </cell>
          <cell r="Z10" t="str">
            <v>kg</v>
          </cell>
          <cell r="AA10">
            <v>10270</v>
          </cell>
          <cell r="AB10">
            <v>23177</v>
          </cell>
          <cell r="AD10">
            <v>34957</v>
          </cell>
          <cell r="AE10" t="str">
            <v>ÇİÇEK TİCARET</v>
          </cell>
          <cell r="AF10" t="str">
            <v>15' lik briket</v>
          </cell>
          <cell r="AG10" t="str">
            <v>Adet</v>
          </cell>
          <cell r="AH10">
            <v>900</v>
          </cell>
          <cell r="AI10">
            <v>639</v>
          </cell>
          <cell r="AK10">
            <v>34979</v>
          </cell>
          <cell r="AL10" t="str">
            <v>BİAT MÖBLE</v>
          </cell>
          <cell r="AM10" t="str">
            <v>Menteşe</v>
          </cell>
          <cell r="AN10" t="str">
            <v>Adet</v>
          </cell>
          <cell r="AO10">
            <v>16</v>
          </cell>
          <cell r="AP10">
            <v>557422</v>
          </cell>
        </row>
        <row r="11">
          <cell r="I11">
            <v>34961</v>
          </cell>
          <cell r="J11" t="str">
            <v>YTONG A.Ş.</v>
          </cell>
          <cell r="K11" t="str">
            <v>Ytong 18 G2 60*25*13,5</v>
          </cell>
          <cell r="L11" t="str">
            <v>m2</v>
          </cell>
          <cell r="M11">
            <v>148500</v>
          </cell>
          <cell r="N11">
            <v>918099</v>
          </cell>
          <cell r="P11">
            <v>34956</v>
          </cell>
          <cell r="Q11" t="str">
            <v>YTONG A.Ş.</v>
          </cell>
          <cell r="R11" t="str">
            <v xml:space="preserve">Ytong TX G2 60*25*8.5  </v>
          </cell>
          <cell r="S11" t="str">
            <v>m2</v>
          </cell>
          <cell r="T11">
            <v>243000</v>
          </cell>
          <cell r="U11">
            <v>919752</v>
          </cell>
          <cell r="W11">
            <v>34979</v>
          </cell>
          <cell r="X11" t="str">
            <v>ÇESAN</v>
          </cell>
          <cell r="Y11" t="str">
            <v>Q131/131(530*215)+R257(470*215)</v>
          </cell>
          <cell r="Z11" t="str">
            <v>kg</v>
          </cell>
          <cell r="AA11">
            <v>10760</v>
          </cell>
          <cell r="AB11">
            <v>23187</v>
          </cell>
          <cell r="AD11">
            <v>34957</v>
          </cell>
          <cell r="AE11" t="str">
            <v>ÇİÇEK TİCARET</v>
          </cell>
          <cell r="AF11" t="str">
            <v>70' lik baca</v>
          </cell>
          <cell r="AG11" t="str">
            <v>Adet</v>
          </cell>
          <cell r="AH11">
            <v>10</v>
          </cell>
          <cell r="AI11">
            <v>639</v>
          </cell>
          <cell r="AK11">
            <v>34979</v>
          </cell>
          <cell r="AL11" t="str">
            <v>BİAT MÖBLE</v>
          </cell>
          <cell r="AM11" t="str">
            <v>Vida</v>
          </cell>
          <cell r="AN11" t="str">
            <v>Adet</v>
          </cell>
          <cell r="AO11">
            <v>4</v>
          </cell>
          <cell r="AP11">
            <v>557422</v>
          </cell>
        </row>
        <row r="12">
          <cell r="I12">
            <v>34962</v>
          </cell>
          <cell r="J12" t="str">
            <v>YTONG A.Ş.</v>
          </cell>
          <cell r="K12" t="str">
            <v>Ytong 18 G2 60*25*13,5</v>
          </cell>
          <cell r="L12" t="str">
            <v>m2</v>
          </cell>
          <cell r="M12">
            <v>148500</v>
          </cell>
          <cell r="N12">
            <v>918195</v>
          </cell>
          <cell r="P12">
            <v>34965</v>
          </cell>
          <cell r="Q12" t="str">
            <v>İSAŞ LTD.ŞTİ.</v>
          </cell>
          <cell r="R12" t="str">
            <v xml:space="preserve">Fitilli pahlı kapı kasası </v>
          </cell>
          <cell r="S12" t="str">
            <v>kg</v>
          </cell>
          <cell r="T12">
            <v>2855</v>
          </cell>
          <cell r="U12">
            <v>1369</v>
          </cell>
          <cell r="W12">
            <v>34979</v>
          </cell>
          <cell r="X12" t="str">
            <v>ÇESAN</v>
          </cell>
          <cell r="Y12" t="str">
            <v>Q131/131(530*215)+R257(470*215)</v>
          </cell>
          <cell r="Z12" t="str">
            <v>kg</v>
          </cell>
          <cell r="AA12">
            <v>9890</v>
          </cell>
          <cell r="AB12">
            <v>23191</v>
          </cell>
          <cell r="AD12">
            <v>34972</v>
          </cell>
          <cell r="AE12" t="str">
            <v>ÇİÇEK TİCARET</v>
          </cell>
          <cell r="AF12" t="str">
            <v>700' lük baca</v>
          </cell>
          <cell r="AG12" t="str">
            <v>Adet</v>
          </cell>
          <cell r="AH12">
            <v>18</v>
          </cell>
          <cell r="AI12">
            <v>731</v>
          </cell>
          <cell r="AK12">
            <v>34979</v>
          </cell>
          <cell r="AL12" t="str">
            <v>BİAT MÖBLE</v>
          </cell>
          <cell r="AM12" t="str">
            <v>Köpük</v>
          </cell>
          <cell r="AN12" t="str">
            <v>Adet</v>
          </cell>
          <cell r="AO12">
            <v>3</v>
          </cell>
          <cell r="AP12">
            <v>557422</v>
          </cell>
        </row>
        <row r="13">
          <cell r="I13">
            <v>34963</v>
          </cell>
          <cell r="J13" t="str">
            <v>YTONG A.Ş.</v>
          </cell>
          <cell r="K13" t="str">
            <v>Ytong 18 G2 60*25*13,5</v>
          </cell>
          <cell r="L13" t="str">
            <v>m2</v>
          </cell>
          <cell r="M13">
            <v>148500</v>
          </cell>
          <cell r="N13">
            <v>918224</v>
          </cell>
          <cell r="P13">
            <v>34967</v>
          </cell>
          <cell r="Q13" t="str">
            <v>İSAŞ LTD.ŞTİ.</v>
          </cell>
          <cell r="R13" t="str">
            <v xml:space="preserve">Fitilli pahlı kapı kasası </v>
          </cell>
          <cell r="S13" t="str">
            <v>kg</v>
          </cell>
          <cell r="T13">
            <v>2810</v>
          </cell>
          <cell r="U13">
            <v>1372</v>
          </cell>
          <cell r="W13">
            <v>34981</v>
          </cell>
          <cell r="X13" t="str">
            <v>ÇESAN</v>
          </cell>
          <cell r="Y13" t="str">
            <v>Q131/131(530*215)+R257(470*215)</v>
          </cell>
          <cell r="Z13" t="str">
            <v>kg</v>
          </cell>
          <cell r="AA13">
            <v>10200</v>
          </cell>
          <cell r="AB13">
            <v>23194</v>
          </cell>
          <cell r="AD13">
            <v>34972</v>
          </cell>
          <cell r="AE13" t="str">
            <v>ÇİÇEK TİCARET</v>
          </cell>
          <cell r="AF13" t="str">
            <v>Bordür taşı</v>
          </cell>
          <cell r="AG13" t="str">
            <v>Adet</v>
          </cell>
          <cell r="AH13">
            <v>50</v>
          </cell>
          <cell r="AI13">
            <v>731</v>
          </cell>
          <cell r="AK13">
            <v>34979</v>
          </cell>
          <cell r="AL13" t="str">
            <v>BİAT MÖBLE</v>
          </cell>
          <cell r="AM13" t="str">
            <v>Kale silindirli kilit</v>
          </cell>
          <cell r="AN13" t="str">
            <v>Adet</v>
          </cell>
          <cell r="AO13">
            <v>5</v>
          </cell>
          <cell r="AP13">
            <v>557422</v>
          </cell>
        </row>
        <row r="14">
          <cell r="I14">
            <v>34963</v>
          </cell>
          <cell r="J14" t="str">
            <v>YTONG A.Ş.</v>
          </cell>
          <cell r="K14" t="str">
            <v>Ytong 18 G2 60*25*13,5</v>
          </cell>
          <cell r="L14" t="str">
            <v>m2</v>
          </cell>
          <cell r="M14">
            <v>148500</v>
          </cell>
          <cell r="N14">
            <v>918225</v>
          </cell>
          <cell r="P14">
            <v>34967</v>
          </cell>
          <cell r="Q14" t="str">
            <v>İSAŞ LTD.ŞTİ.</v>
          </cell>
          <cell r="R14" t="str">
            <v xml:space="preserve">Fitilli pahlı kapı kasası </v>
          </cell>
          <cell r="S14" t="str">
            <v>kg</v>
          </cell>
          <cell r="T14">
            <v>2800</v>
          </cell>
          <cell r="U14">
            <v>1370</v>
          </cell>
          <cell r="W14">
            <v>34981</v>
          </cell>
          <cell r="X14" t="str">
            <v>ÇESAN</v>
          </cell>
          <cell r="Y14" t="str">
            <v>Q131/131(530*215)+R257(470*215)</v>
          </cell>
          <cell r="Z14" t="str">
            <v>kg</v>
          </cell>
          <cell r="AA14">
            <v>9710</v>
          </cell>
          <cell r="AB14">
            <v>23202</v>
          </cell>
          <cell r="AD14">
            <v>34960</v>
          </cell>
          <cell r="AE14" t="str">
            <v>TUĞLACILAR A.Ş.</v>
          </cell>
          <cell r="AF14" t="str">
            <v>Şönt baca</v>
          </cell>
          <cell r="AG14" t="str">
            <v>Adet</v>
          </cell>
          <cell r="AH14">
            <v>1700</v>
          </cell>
          <cell r="AI14">
            <v>64649</v>
          </cell>
          <cell r="AK14">
            <v>34962</v>
          </cell>
          <cell r="AL14" t="str">
            <v>DEMMA YAP.MALZ.</v>
          </cell>
          <cell r="AM14" t="str">
            <v>215/500' lük çelik hasır</v>
          </cell>
          <cell r="AN14" t="str">
            <v>kg</v>
          </cell>
          <cell r="AO14">
            <v>12180</v>
          </cell>
          <cell r="AP14">
            <v>182531</v>
          </cell>
        </row>
        <row r="15">
          <cell r="I15">
            <v>34963</v>
          </cell>
          <cell r="J15" t="str">
            <v>YTONG A.Ş.</v>
          </cell>
          <cell r="K15" t="str">
            <v>Ytong 18 G2 60*25*13,5</v>
          </cell>
          <cell r="L15" t="str">
            <v>m2</v>
          </cell>
          <cell r="M15">
            <v>148500</v>
          </cell>
          <cell r="N15">
            <v>918282</v>
          </cell>
          <cell r="P15">
            <v>34969</v>
          </cell>
          <cell r="Q15" t="str">
            <v>İSAŞ LTD.ŞTİ.</v>
          </cell>
          <cell r="R15" t="str">
            <v xml:space="preserve">Fitilli pahlı kapı kasası </v>
          </cell>
          <cell r="S15" t="str">
            <v>kg</v>
          </cell>
          <cell r="T15">
            <v>2805</v>
          </cell>
          <cell r="U15">
            <v>1381</v>
          </cell>
          <cell r="W15">
            <v>34982</v>
          </cell>
          <cell r="X15" t="str">
            <v>ÇESAN</v>
          </cell>
          <cell r="Y15" t="str">
            <v>Q221/221(500*215)+R257</v>
          </cell>
          <cell r="AD15">
            <v>34970</v>
          </cell>
          <cell r="AE15" t="str">
            <v>TUĞLACILAR A.Ş.</v>
          </cell>
          <cell r="AF15" t="str">
            <v>13.5' luk tuğla</v>
          </cell>
          <cell r="AG15" t="str">
            <v>Adet</v>
          </cell>
          <cell r="AH15">
            <v>8650</v>
          </cell>
          <cell r="AI15">
            <v>64710</v>
          </cell>
          <cell r="AK15">
            <v>34963</v>
          </cell>
          <cell r="AL15" t="str">
            <v>DEMMA YAP.MALZ.</v>
          </cell>
          <cell r="AM15" t="str">
            <v>215/500' lük çelik hasır</v>
          </cell>
          <cell r="AN15" t="str">
            <v>kg</v>
          </cell>
          <cell r="AO15">
            <v>3610</v>
          </cell>
          <cell r="AP15">
            <v>182565</v>
          </cell>
        </row>
        <row r="16">
          <cell r="I16">
            <v>34964</v>
          </cell>
          <cell r="J16" t="str">
            <v>YTONG A.Ş.</v>
          </cell>
          <cell r="K16" t="str">
            <v>Ytong 18 G2 60*25*13,5</v>
          </cell>
          <cell r="L16" t="str">
            <v>m2</v>
          </cell>
          <cell r="M16">
            <v>148500</v>
          </cell>
          <cell r="N16">
            <v>918305</v>
          </cell>
          <cell r="P16">
            <v>34969</v>
          </cell>
          <cell r="Q16" t="str">
            <v>İSAŞ LTD.ŞTİ.</v>
          </cell>
          <cell r="R16" t="str">
            <v xml:space="preserve">Fitilli pahlı kapı kasası </v>
          </cell>
          <cell r="S16" t="str">
            <v>kg</v>
          </cell>
          <cell r="T16">
            <v>2595</v>
          </cell>
          <cell r="U16">
            <v>1384</v>
          </cell>
          <cell r="Y16" t="str">
            <v>(350*215) +R257(470*215)</v>
          </cell>
          <cell r="Z16" t="str">
            <v>kg</v>
          </cell>
          <cell r="AA16">
            <v>12380</v>
          </cell>
          <cell r="AB16">
            <v>23222</v>
          </cell>
          <cell r="AD16">
            <v>34983</v>
          </cell>
          <cell r="AE16" t="str">
            <v>TUĞLACILAR</v>
          </cell>
          <cell r="AF16" t="str">
            <v>Kiremit</v>
          </cell>
          <cell r="AG16" t="str">
            <v>Adet</v>
          </cell>
          <cell r="AH16">
            <v>8200</v>
          </cell>
          <cell r="AI16">
            <v>64717</v>
          </cell>
          <cell r="AK16">
            <v>34965</v>
          </cell>
          <cell r="AL16" t="str">
            <v>DEMMA YAP.MALZ.</v>
          </cell>
          <cell r="AM16" t="str">
            <v>215/600' lük çelik hasır</v>
          </cell>
          <cell r="AN16" t="str">
            <v>kg</v>
          </cell>
          <cell r="AO16">
            <v>9680</v>
          </cell>
          <cell r="AP16">
            <v>182606</v>
          </cell>
        </row>
        <row r="17">
          <cell r="I17">
            <v>34964</v>
          </cell>
          <cell r="J17" t="str">
            <v>YTONG A.Ş.</v>
          </cell>
          <cell r="K17" t="str">
            <v>Ytong 18 G2 60*25*13,5</v>
          </cell>
          <cell r="L17" t="str">
            <v>m2</v>
          </cell>
          <cell r="M17">
            <v>148500</v>
          </cell>
          <cell r="N17">
            <v>918306</v>
          </cell>
          <cell r="P17">
            <v>34975</v>
          </cell>
          <cell r="Q17" t="str">
            <v>İSAŞ LTD.ŞTİ.</v>
          </cell>
          <cell r="R17" t="str">
            <v xml:space="preserve">Fitilli pahlı kapı kasası </v>
          </cell>
          <cell r="S17" t="str">
            <v>kg</v>
          </cell>
          <cell r="T17">
            <v>2200</v>
          </cell>
          <cell r="U17">
            <v>1395</v>
          </cell>
          <cell r="W17">
            <v>34982</v>
          </cell>
          <cell r="X17" t="str">
            <v>ÇESAN</v>
          </cell>
          <cell r="Y17" t="str">
            <v>TR443 (600*215)</v>
          </cell>
          <cell r="Z17" t="str">
            <v>kg</v>
          </cell>
          <cell r="AA17">
            <v>11340</v>
          </cell>
          <cell r="AB17">
            <v>23209</v>
          </cell>
          <cell r="AD17">
            <v>34983</v>
          </cell>
          <cell r="AE17" t="str">
            <v>TUĞLACILAR</v>
          </cell>
          <cell r="AF17" t="str">
            <v>Mahya</v>
          </cell>
          <cell r="AG17" t="str">
            <v>Adet</v>
          </cell>
          <cell r="AH17">
            <v>300</v>
          </cell>
          <cell r="AI17">
            <v>64717</v>
          </cell>
          <cell r="AK17">
            <v>34969</v>
          </cell>
          <cell r="AL17" t="str">
            <v>DEMMA YAP.MALZ.</v>
          </cell>
          <cell r="AM17" t="str">
            <v>215/500' lük çelik hasır</v>
          </cell>
          <cell r="AN17" t="str">
            <v>kg</v>
          </cell>
          <cell r="AO17">
            <v>7360</v>
          </cell>
          <cell r="AP17">
            <v>182643</v>
          </cell>
        </row>
        <row r="18">
          <cell r="I18">
            <v>34965</v>
          </cell>
          <cell r="J18" t="str">
            <v>YTONG A.Ş.</v>
          </cell>
          <cell r="K18" t="str">
            <v>Ytong 18 G2 60*25*13,5</v>
          </cell>
          <cell r="L18" t="str">
            <v>m2</v>
          </cell>
          <cell r="M18">
            <v>148500</v>
          </cell>
          <cell r="N18">
            <v>918385</v>
          </cell>
          <cell r="P18">
            <v>34978</v>
          </cell>
          <cell r="Q18" t="str">
            <v>İSAŞ LTD.ŞTİ.</v>
          </cell>
          <cell r="R18" t="str">
            <v xml:space="preserve">Fitilli pahlı kapı kasası </v>
          </cell>
          <cell r="S18" t="str">
            <v>kg</v>
          </cell>
          <cell r="T18">
            <v>2245</v>
          </cell>
          <cell r="U18">
            <v>1399</v>
          </cell>
          <cell r="W18">
            <v>34982</v>
          </cell>
          <cell r="X18" t="str">
            <v>ÇESAN</v>
          </cell>
          <cell r="Y18" t="str">
            <v>R257(350*215)+R257(470*215)</v>
          </cell>
          <cell r="Z18" t="str">
            <v>kg</v>
          </cell>
          <cell r="AA18">
            <v>12370</v>
          </cell>
          <cell r="AB18">
            <v>232</v>
          </cell>
          <cell r="AD18">
            <v>34976</v>
          </cell>
          <cell r="AE18" t="str">
            <v>DEMİR TOPUZ A.Ş.</v>
          </cell>
          <cell r="AF18" t="str">
            <v>Q221/221(330*215)</v>
          </cell>
          <cell r="AG18" t="str">
            <v>kg</v>
          </cell>
          <cell r="AH18">
            <v>11000</v>
          </cell>
          <cell r="AI18">
            <v>153877</v>
          </cell>
          <cell r="AK18">
            <v>34972</v>
          </cell>
          <cell r="AL18" t="str">
            <v>DEMMA YAP.MALZ.</v>
          </cell>
          <cell r="AM18" t="str">
            <v>215/500' lük çelik hasır</v>
          </cell>
          <cell r="AN18" t="str">
            <v>kg</v>
          </cell>
          <cell r="AO18">
            <v>4310</v>
          </cell>
          <cell r="AP18">
            <v>182704</v>
          </cell>
        </row>
        <row r="19">
          <cell r="I19">
            <v>34965</v>
          </cell>
          <cell r="J19" t="str">
            <v>YTONG A.Ş.</v>
          </cell>
          <cell r="K19" t="str">
            <v>Ytong 18 G2 60*25*13,5</v>
          </cell>
          <cell r="L19" t="str">
            <v>m2</v>
          </cell>
          <cell r="M19">
            <v>148500</v>
          </cell>
          <cell r="N19">
            <v>918386</v>
          </cell>
          <cell r="P19">
            <v>34979</v>
          </cell>
          <cell r="Q19" t="str">
            <v>İSAŞ LTD.ŞTİ.</v>
          </cell>
          <cell r="R19" t="str">
            <v xml:space="preserve">Fitilli pahlı kapı kasası </v>
          </cell>
          <cell r="S19" t="str">
            <v>kg</v>
          </cell>
          <cell r="T19">
            <v>2255</v>
          </cell>
          <cell r="U19">
            <v>1401</v>
          </cell>
          <cell r="W19">
            <v>34982</v>
          </cell>
          <cell r="X19" t="str">
            <v>ÇESAN</v>
          </cell>
          <cell r="Y19" t="str">
            <v>TR443 (600*215)+Q131/131</v>
          </cell>
          <cell r="AD19">
            <v>34977</v>
          </cell>
          <cell r="AE19" t="str">
            <v>DEMİR TOPUZ A.Ş.</v>
          </cell>
          <cell r="AF19" t="str">
            <v>Q221/221(330*215)</v>
          </cell>
          <cell r="AG19" t="str">
            <v>kg</v>
          </cell>
          <cell r="AH19">
            <v>13060</v>
          </cell>
          <cell r="AI19">
            <v>153882</v>
          </cell>
          <cell r="AK19">
            <v>34976</v>
          </cell>
          <cell r="AL19" t="str">
            <v>DEMMA YAP.MALZ.</v>
          </cell>
          <cell r="AM19" t="str">
            <v>215/600' lük çelik hasır</v>
          </cell>
          <cell r="AN19" t="str">
            <v>kg</v>
          </cell>
          <cell r="AO19">
            <v>11270</v>
          </cell>
          <cell r="AP19">
            <v>182765</v>
          </cell>
        </row>
        <row r="20">
          <cell r="I20">
            <v>34965</v>
          </cell>
          <cell r="J20" t="str">
            <v>YTONG A.Ş.</v>
          </cell>
          <cell r="K20" t="str">
            <v>Ytong 18 G2 60*25*13,5</v>
          </cell>
          <cell r="L20" t="str">
            <v>m2</v>
          </cell>
          <cell r="M20">
            <v>148500</v>
          </cell>
          <cell r="N20">
            <v>918390</v>
          </cell>
          <cell r="P20">
            <v>34979</v>
          </cell>
          <cell r="Q20" t="str">
            <v>İSAŞ LTD.ŞTİ.</v>
          </cell>
          <cell r="R20" t="str">
            <v xml:space="preserve">Fitilli pahlı kapı kasası </v>
          </cell>
          <cell r="S20" t="str">
            <v>kg</v>
          </cell>
          <cell r="T20">
            <v>2225</v>
          </cell>
          <cell r="U20">
            <v>1404</v>
          </cell>
          <cell r="Y20" t="str">
            <v>(530*215)+R257(350*215)</v>
          </cell>
          <cell r="Z20" t="str">
            <v>kg</v>
          </cell>
          <cell r="AA20">
            <v>12560</v>
          </cell>
          <cell r="AB20">
            <v>23219</v>
          </cell>
          <cell r="AD20">
            <v>34978</v>
          </cell>
          <cell r="AE20" t="str">
            <v>DEMİR TOPUZ A.Ş.</v>
          </cell>
          <cell r="AF20" t="str">
            <v>Q221/221(330*215)+(500*215)</v>
          </cell>
          <cell r="AG20" t="str">
            <v>kg</v>
          </cell>
          <cell r="AH20">
            <v>11810</v>
          </cell>
          <cell r="AI20">
            <v>153888</v>
          </cell>
          <cell r="AK20">
            <v>34977</v>
          </cell>
          <cell r="AL20" t="str">
            <v>DEMMA YAP.MALZ.</v>
          </cell>
          <cell r="AM20" t="str">
            <v>215/600' lük çelik hasır</v>
          </cell>
          <cell r="AN20" t="str">
            <v>kg</v>
          </cell>
          <cell r="AO20">
            <v>3780</v>
          </cell>
          <cell r="AP20">
            <v>182772</v>
          </cell>
        </row>
        <row r="21">
          <cell r="I21">
            <v>34967</v>
          </cell>
          <cell r="J21" t="str">
            <v>YTONG A.Ş.</v>
          </cell>
          <cell r="K21" t="str">
            <v>Ytong 18 G2 60*25*13,5</v>
          </cell>
          <cell r="L21" t="str">
            <v>m2</v>
          </cell>
          <cell r="M21">
            <v>148500</v>
          </cell>
          <cell r="N21">
            <v>918440</v>
          </cell>
          <cell r="P21">
            <v>34981</v>
          </cell>
          <cell r="Q21" t="str">
            <v>İSAŞ LTD.ŞTİ.</v>
          </cell>
          <cell r="R21" t="str">
            <v xml:space="preserve">Fitilli pahlı kapı kasası </v>
          </cell>
          <cell r="S21" t="str">
            <v>kg</v>
          </cell>
          <cell r="T21">
            <v>2270</v>
          </cell>
          <cell r="U21">
            <v>1406</v>
          </cell>
          <cell r="W21">
            <v>34983</v>
          </cell>
          <cell r="X21" t="str">
            <v>ÇESAN</v>
          </cell>
          <cell r="Y21" t="str">
            <v>Q221/221(500*215)+Q221/221</v>
          </cell>
          <cell r="AD21">
            <v>34981</v>
          </cell>
          <cell r="AE21" t="str">
            <v>DEMİR TOPUZ A.Ş.</v>
          </cell>
          <cell r="AF21" t="str">
            <v>Q221/221(330*215)</v>
          </cell>
          <cell r="AG21" t="str">
            <v>kg</v>
          </cell>
          <cell r="AH21">
            <v>13210</v>
          </cell>
          <cell r="AI21">
            <v>153903</v>
          </cell>
          <cell r="AK21">
            <v>34981</v>
          </cell>
          <cell r="AL21" t="str">
            <v>ALÇI ve BLOK A.Ş.</v>
          </cell>
          <cell r="AM21" t="str">
            <v>Sıva alçısı</v>
          </cell>
          <cell r="AN21" t="str">
            <v>kg</v>
          </cell>
          <cell r="AO21">
            <v>19250</v>
          </cell>
          <cell r="AP21">
            <v>238345</v>
          </cell>
        </row>
        <row r="22">
          <cell r="I22">
            <v>34967</v>
          </cell>
          <cell r="J22" t="str">
            <v>YTONG A.Ş.</v>
          </cell>
          <cell r="K22" t="str">
            <v>Ytong 18 G2 60*25*13,5</v>
          </cell>
          <cell r="L22" t="str">
            <v>m2</v>
          </cell>
          <cell r="M22">
            <v>148500</v>
          </cell>
          <cell r="N22">
            <v>918441</v>
          </cell>
          <cell r="P22">
            <v>34981</v>
          </cell>
          <cell r="Q22" t="str">
            <v>İSAŞ LTD.ŞTİ.</v>
          </cell>
          <cell r="R22" t="str">
            <v xml:space="preserve">Fitilli pahlı kapı kasası </v>
          </cell>
          <cell r="S22" t="str">
            <v>kg</v>
          </cell>
          <cell r="T22">
            <v>2490</v>
          </cell>
          <cell r="U22">
            <v>1408</v>
          </cell>
          <cell r="Y22" t="str">
            <v>(330*215)+R257(470*215)</v>
          </cell>
          <cell r="Z22" t="str">
            <v>kg</v>
          </cell>
          <cell r="AA22">
            <v>12340</v>
          </cell>
          <cell r="AB22">
            <v>2323</v>
          </cell>
          <cell r="AD22">
            <v>34982</v>
          </cell>
          <cell r="AE22" t="str">
            <v>DEMİR TOPUZ A.Ş.</v>
          </cell>
          <cell r="AF22" t="str">
            <v>Q221/221(330*215)</v>
          </cell>
          <cell r="AG22" t="str">
            <v>kg</v>
          </cell>
          <cell r="AH22">
            <v>12960</v>
          </cell>
          <cell r="AI22">
            <v>153909</v>
          </cell>
          <cell r="AK22">
            <v>34959</v>
          </cell>
          <cell r="AL22" t="str">
            <v>POLYPET</v>
          </cell>
          <cell r="AM22" t="str">
            <v>Poly F-300</v>
          </cell>
          <cell r="AN22" t="str">
            <v>m</v>
          </cell>
          <cell r="AO22">
            <v>200</v>
          </cell>
          <cell r="AP22">
            <v>67755</v>
          </cell>
        </row>
        <row r="23">
          <cell r="I23">
            <v>34968</v>
          </cell>
          <cell r="J23" t="str">
            <v>YTONG A.Ş.</v>
          </cell>
          <cell r="K23" t="str">
            <v>Ytong 18 G2 60*25*13,5</v>
          </cell>
          <cell r="L23" t="str">
            <v>m2</v>
          </cell>
          <cell r="M23">
            <v>148500</v>
          </cell>
          <cell r="N23">
            <v>918513</v>
          </cell>
          <cell r="P23">
            <v>34968</v>
          </cell>
          <cell r="Q23" t="str">
            <v>İSAŞ LTD.ŞTİ.</v>
          </cell>
          <cell r="R23" t="str">
            <v>Fitilli pahlı kapı kasası</v>
          </cell>
          <cell r="S23" t="str">
            <v>kg</v>
          </cell>
          <cell r="T23">
            <v>2805</v>
          </cell>
          <cell r="U23">
            <v>1375</v>
          </cell>
          <cell r="W23">
            <v>34983</v>
          </cell>
          <cell r="X23" t="str">
            <v>ÇESAN</v>
          </cell>
          <cell r="Y23" t="str">
            <v>R257(320*215)+Q221/221</v>
          </cell>
          <cell r="AD23">
            <v>34984</v>
          </cell>
          <cell r="AE23" t="str">
            <v>DEMİR TOPUZ A.Ş.</v>
          </cell>
          <cell r="AF23" t="str">
            <v>Q221/221(330*215)</v>
          </cell>
          <cell r="AG23" t="str">
            <v>kg</v>
          </cell>
          <cell r="AH23">
            <v>13200</v>
          </cell>
          <cell r="AI23">
            <v>153925</v>
          </cell>
          <cell r="AK23">
            <v>34982</v>
          </cell>
          <cell r="AL23" t="str">
            <v>MİKRON</v>
          </cell>
          <cell r="AM23" t="str">
            <v>12 Tr sayaçlı sac pano</v>
          </cell>
          <cell r="AN23" t="str">
            <v>Adet</v>
          </cell>
          <cell r="AO23">
            <v>3</v>
          </cell>
          <cell r="AP23">
            <v>94260</v>
          </cell>
        </row>
        <row r="24">
          <cell r="I24">
            <v>34968</v>
          </cell>
          <cell r="J24" t="str">
            <v>YTONG A.Ş.</v>
          </cell>
          <cell r="K24" t="str">
            <v>Ytong LW G3 280*20*13,5</v>
          </cell>
          <cell r="L24" t="str">
            <v>m2</v>
          </cell>
          <cell r="M24">
            <v>80640</v>
          </cell>
          <cell r="N24">
            <v>918521</v>
          </cell>
          <cell r="P24">
            <v>34983</v>
          </cell>
          <cell r="Q24" t="str">
            <v>İSAŞ LTD.ŞTİ.</v>
          </cell>
          <cell r="R24" t="str">
            <v xml:space="preserve">Fitilli pahlı kapı kasası </v>
          </cell>
          <cell r="S24" t="str">
            <v>kg</v>
          </cell>
          <cell r="T24">
            <v>2655</v>
          </cell>
          <cell r="U24">
            <v>1410</v>
          </cell>
          <cell r="Y24" t="str">
            <v>(330*215)+R257(470*215)</v>
          </cell>
          <cell r="Z24" t="str">
            <v>kg</v>
          </cell>
          <cell r="AA24">
            <v>12080</v>
          </cell>
          <cell r="AB24">
            <v>23237</v>
          </cell>
          <cell r="AD24">
            <v>34984</v>
          </cell>
          <cell r="AE24" t="str">
            <v>DEMİR TOPUZ A.Ş.</v>
          </cell>
          <cell r="AF24" t="str">
            <v>Q221/221(330*215)</v>
          </cell>
          <cell r="AG24" t="str">
            <v>kg</v>
          </cell>
          <cell r="AH24">
            <v>13050</v>
          </cell>
          <cell r="AI24">
            <v>153921</v>
          </cell>
          <cell r="AK24">
            <v>34982</v>
          </cell>
          <cell r="AL24" t="str">
            <v>MİKRON</v>
          </cell>
          <cell r="AM24" t="str">
            <v>13 Tr sayaçlı sac pano</v>
          </cell>
          <cell r="AN24" t="str">
            <v>Adet</v>
          </cell>
          <cell r="AO24">
            <v>3</v>
          </cell>
          <cell r="AP24">
            <v>94260</v>
          </cell>
        </row>
        <row r="25">
          <cell r="I25">
            <v>34968</v>
          </cell>
          <cell r="J25" t="str">
            <v>YTONG A.Ş.</v>
          </cell>
          <cell r="K25" t="str">
            <v>Ytong LW G3 155*20*13,5</v>
          </cell>
          <cell r="L25" t="str">
            <v>m2</v>
          </cell>
          <cell r="M25">
            <v>2790</v>
          </cell>
          <cell r="N25">
            <v>918521</v>
          </cell>
          <cell r="P25">
            <v>34961</v>
          </cell>
          <cell r="Q25" t="str">
            <v>DEBİSAN</v>
          </cell>
          <cell r="R25" t="str">
            <v>1/2 STS doğalgaz vanası</v>
          </cell>
          <cell r="S25" t="str">
            <v>Adet</v>
          </cell>
          <cell r="T25">
            <v>560</v>
          </cell>
          <cell r="U25">
            <v>32526</v>
          </cell>
          <cell r="W25">
            <v>34983</v>
          </cell>
          <cell r="X25" t="str">
            <v>ÇESAN</v>
          </cell>
          <cell r="Y25" t="str">
            <v>Q221/221(500*215)+Q221/221</v>
          </cell>
          <cell r="AD25">
            <v>34984</v>
          </cell>
          <cell r="AE25" t="str">
            <v>DEMİR TOPUZ A.Ş.</v>
          </cell>
          <cell r="AF25" t="str">
            <v>Q221/221(330*215)+(500*215)</v>
          </cell>
          <cell r="AG25" t="str">
            <v>kg</v>
          </cell>
          <cell r="AH25">
            <v>12400</v>
          </cell>
          <cell r="AI25">
            <v>153924</v>
          </cell>
          <cell r="AK25">
            <v>34982</v>
          </cell>
          <cell r="AL25" t="str">
            <v>MİKRON</v>
          </cell>
          <cell r="AM25" t="str">
            <v>16 Tr sayaçlı sac pano</v>
          </cell>
          <cell r="AN25" t="str">
            <v>Adet</v>
          </cell>
          <cell r="AO25">
            <v>5</v>
          </cell>
          <cell r="AP25">
            <v>94260</v>
          </cell>
        </row>
        <row r="26">
          <cell r="I26">
            <v>34968</v>
          </cell>
          <cell r="J26" t="str">
            <v>YTONG A.Ş.</v>
          </cell>
          <cell r="K26" t="str">
            <v>Ytong LW G3 170*20*13,5</v>
          </cell>
          <cell r="L26" t="str">
            <v>m2</v>
          </cell>
          <cell r="M26">
            <v>6120</v>
          </cell>
          <cell r="N26">
            <v>918521</v>
          </cell>
          <cell r="P26">
            <v>34961</v>
          </cell>
          <cell r="Q26" t="str">
            <v>DEBİSAN</v>
          </cell>
          <cell r="R26" t="str">
            <v>3/4STS doğalgaz vanası</v>
          </cell>
          <cell r="S26" t="str">
            <v>Adet</v>
          </cell>
          <cell r="T26">
            <v>368</v>
          </cell>
          <cell r="U26">
            <v>32526</v>
          </cell>
          <cell r="Y26" t="str">
            <v>(330*215)</v>
          </cell>
          <cell r="Z26" t="str">
            <v>kg</v>
          </cell>
          <cell r="AA26">
            <v>13730</v>
          </cell>
          <cell r="AB26">
            <v>2323</v>
          </cell>
          <cell r="AD26">
            <v>34985</v>
          </cell>
          <cell r="AE26" t="str">
            <v>DEMİR TOPUZ A.Ş.</v>
          </cell>
          <cell r="AF26" t="str">
            <v>Q221/221(330*215)+(500*215)</v>
          </cell>
          <cell r="AG26" t="str">
            <v>kg</v>
          </cell>
          <cell r="AH26">
            <v>12460</v>
          </cell>
          <cell r="AI26">
            <v>153931</v>
          </cell>
          <cell r="AK26">
            <v>34982</v>
          </cell>
          <cell r="AL26" t="str">
            <v>MİKRON</v>
          </cell>
          <cell r="AM26" t="str">
            <v>17 Tr sayaçlı sac pano</v>
          </cell>
          <cell r="AN26" t="str">
            <v>Adet</v>
          </cell>
          <cell r="AO26">
            <v>5</v>
          </cell>
          <cell r="AP26">
            <v>94260</v>
          </cell>
        </row>
        <row r="27">
          <cell r="I27">
            <v>34968</v>
          </cell>
          <cell r="J27" t="str">
            <v>YTONG A.Ş.</v>
          </cell>
          <cell r="K27" t="str">
            <v>Ytong LW G3 280*20*13,5</v>
          </cell>
          <cell r="L27" t="str">
            <v>m2</v>
          </cell>
          <cell r="M27">
            <v>40320</v>
          </cell>
          <cell r="N27">
            <v>918522</v>
          </cell>
          <cell r="P27">
            <v>34961</v>
          </cell>
          <cell r="Q27" t="str">
            <v>DEBİSAN</v>
          </cell>
          <cell r="R27" t="str">
            <v>1/2 trifonlu kelepçe</v>
          </cell>
          <cell r="S27" t="str">
            <v>Adet</v>
          </cell>
          <cell r="T27">
            <v>1500</v>
          </cell>
          <cell r="U27">
            <v>32526</v>
          </cell>
          <cell r="W27">
            <v>34983</v>
          </cell>
          <cell r="X27" t="str">
            <v>ÇESAN</v>
          </cell>
          <cell r="Y27" t="str">
            <v>R257(320*215)+Q221/221(330*215)</v>
          </cell>
          <cell r="Z27" t="str">
            <v>kg</v>
          </cell>
          <cell r="AA27">
            <v>12450</v>
          </cell>
          <cell r="AB27">
            <v>23229</v>
          </cell>
          <cell r="AD27">
            <v>34985</v>
          </cell>
          <cell r="AE27" t="str">
            <v>DEMİR TOPUZ A.Ş.</v>
          </cell>
          <cell r="AF27" t="str">
            <v>Q221/221(330*215)+(500*215)</v>
          </cell>
          <cell r="AG27" t="str">
            <v>kg</v>
          </cell>
          <cell r="AH27">
            <v>12200</v>
          </cell>
          <cell r="AI27">
            <v>153932</v>
          </cell>
          <cell r="AK27">
            <v>34982</v>
          </cell>
          <cell r="AL27" t="str">
            <v>MİKRON</v>
          </cell>
          <cell r="AM27" t="str">
            <v>18 Tr sayaçlı sac pano</v>
          </cell>
          <cell r="AN27" t="str">
            <v>Adet</v>
          </cell>
          <cell r="AO27">
            <v>2</v>
          </cell>
          <cell r="AP27">
            <v>94260</v>
          </cell>
        </row>
        <row r="28">
          <cell r="I28">
            <v>34968</v>
          </cell>
          <cell r="J28" t="str">
            <v>YTONG A.Ş.</v>
          </cell>
          <cell r="K28" t="str">
            <v>Ytong LW G3 245*20*13,5</v>
          </cell>
          <cell r="L28" t="str">
            <v>m2</v>
          </cell>
          <cell r="M28">
            <v>35290</v>
          </cell>
          <cell r="N28">
            <v>918522</v>
          </cell>
          <cell r="P28">
            <v>34961</v>
          </cell>
          <cell r="Q28" t="str">
            <v>DEBİSAN</v>
          </cell>
          <cell r="R28" t="str">
            <v>3/4 trifonlu kelepçe</v>
          </cell>
          <cell r="S28" t="str">
            <v>Adet</v>
          </cell>
          <cell r="T28">
            <v>2500</v>
          </cell>
          <cell r="U28">
            <v>32526</v>
          </cell>
          <cell r="W28">
            <v>34983</v>
          </cell>
          <cell r="X28" t="str">
            <v>ÇESAN</v>
          </cell>
          <cell r="Y28" t="str">
            <v>R257(320*215)+R257(470*215)</v>
          </cell>
          <cell r="Z28" t="str">
            <v>kg</v>
          </cell>
          <cell r="AA28">
            <v>12532</v>
          </cell>
          <cell r="AB28">
            <v>23235</v>
          </cell>
          <cell r="AD28">
            <v>34985</v>
          </cell>
          <cell r="AE28" t="str">
            <v>DEMİR TOPUZ A.Ş.</v>
          </cell>
          <cell r="AF28" t="str">
            <v>Q221/221(500*215)</v>
          </cell>
          <cell r="AG28" t="str">
            <v>kg</v>
          </cell>
          <cell r="AH28">
            <v>11250</v>
          </cell>
          <cell r="AI28">
            <v>153933</v>
          </cell>
          <cell r="AK28">
            <v>34982</v>
          </cell>
          <cell r="AL28" t="str">
            <v>MİKRON</v>
          </cell>
          <cell r="AM28" t="str">
            <v>19 Tr sayaçlı sac pano</v>
          </cell>
          <cell r="AN28" t="str">
            <v>Adet</v>
          </cell>
          <cell r="AO28">
            <v>2</v>
          </cell>
          <cell r="AP28">
            <v>94260</v>
          </cell>
        </row>
        <row r="29">
          <cell r="I29">
            <v>34970</v>
          </cell>
          <cell r="J29" t="str">
            <v>YTONG A.Ş.</v>
          </cell>
          <cell r="K29" t="str">
            <v>Ytong 18 G2 60*25*13,5</v>
          </cell>
          <cell r="L29" t="str">
            <v>m2</v>
          </cell>
          <cell r="M29">
            <v>148500</v>
          </cell>
          <cell r="N29">
            <v>918720</v>
          </cell>
          <cell r="P29">
            <v>34961</v>
          </cell>
          <cell r="Q29" t="str">
            <v>DEBİSAN</v>
          </cell>
          <cell r="R29" t="str">
            <v>1'' trifonlu kelepçe</v>
          </cell>
          <cell r="S29" t="str">
            <v>Adet</v>
          </cell>
          <cell r="T29">
            <v>200</v>
          </cell>
          <cell r="U29">
            <v>32526</v>
          </cell>
          <cell r="W29">
            <v>34983</v>
          </cell>
          <cell r="X29" t="str">
            <v>ÇESAN</v>
          </cell>
          <cell r="Y29" t="str">
            <v>R257(320*215)+Q221/221(330*215)</v>
          </cell>
          <cell r="Z29" t="str">
            <v>kg</v>
          </cell>
          <cell r="AA29">
            <v>12720</v>
          </cell>
          <cell r="AB29">
            <v>23226</v>
          </cell>
          <cell r="AD29">
            <v>34985</v>
          </cell>
          <cell r="AE29" t="str">
            <v>DEMİR TOPUZ A.Ş.</v>
          </cell>
          <cell r="AF29" t="str">
            <v>Q221/221(330*215)+(500*215)</v>
          </cell>
          <cell r="AG29" t="str">
            <v>kg</v>
          </cell>
          <cell r="AH29">
            <v>12500</v>
          </cell>
          <cell r="AI29">
            <v>153928</v>
          </cell>
          <cell r="AK29">
            <v>34982</v>
          </cell>
          <cell r="AL29" t="str">
            <v>MİKRON</v>
          </cell>
          <cell r="AM29" t="str">
            <v>20 Tr sayaçlı sac pano</v>
          </cell>
          <cell r="AN29" t="str">
            <v>Adet</v>
          </cell>
          <cell r="AO29">
            <v>6</v>
          </cell>
          <cell r="AP29">
            <v>94260</v>
          </cell>
        </row>
        <row r="30">
          <cell r="I30">
            <v>34970</v>
          </cell>
          <cell r="J30" t="str">
            <v>YTONG A.Ş.</v>
          </cell>
          <cell r="K30" t="str">
            <v>Ytong 18 G2 60*25*13,5</v>
          </cell>
          <cell r="L30" t="str">
            <v>m2</v>
          </cell>
          <cell r="M30">
            <v>148500</v>
          </cell>
          <cell r="N30">
            <v>918719</v>
          </cell>
          <cell r="P30">
            <v>34961</v>
          </cell>
          <cell r="Q30" t="str">
            <v>DEBİSAN</v>
          </cell>
          <cell r="R30" t="str">
            <v>1'1/4 trifonlu kelepçe</v>
          </cell>
          <cell r="S30" t="str">
            <v>Adet</v>
          </cell>
          <cell r="T30">
            <v>200</v>
          </cell>
          <cell r="U30">
            <v>32526</v>
          </cell>
          <cell r="W30">
            <v>34984</v>
          </cell>
          <cell r="X30" t="str">
            <v>ÇESAN</v>
          </cell>
          <cell r="Y30" t="str">
            <v>R257(470*215)+Q221/221(330*215)</v>
          </cell>
          <cell r="Z30" t="str">
            <v>kg</v>
          </cell>
          <cell r="AA30">
            <v>12970</v>
          </cell>
          <cell r="AB30">
            <v>23242</v>
          </cell>
          <cell r="AD30">
            <v>34985</v>
          </cell>
          <cell r="AE30" t="str">
            <v>DEMİR TOPUZ A.Ş.</v>
          </cell>
          <cell r="AF30" t="str">
            <v>Q221/221(330*215)+(500*215)</v>
          </cell>
          <cell r="AG30" t="str">
            <v>kg</v>
          </cell>
          <cell r="AH30">
            <v>12200</v>
          </cell>
          <cell r="AI30">
            <v>153932</v>
          </cell>
          <cell r="AK30">
            <v>34982</v>
          </cell>
          <cell r="AL30" t="str">
            <v>MİKRON</v>
          </cell>
          <cell r="AM30" t="str">
            <v>21 Tr sayaçlı sac pano</v>
          </cell>
          <cell r="AN30" t="str">
            <v>Adet</v>
          </cell>
          <cell r="AO30">
            <v>6</v>
          </cell>
          <cell r="AP30">
            <v>94260</v>
          </cell>
        </row>
        <row r="31">
          <cell r="I31">
            <v>34972</v>
          </cell>
          <cell r="J31" t="str">
            <v>YTONG A.Ş.</v>
          </cell>
          <cell r="K31" t="str">
            <v>Ytong 18 G2 60*25*13,5</v>
          </cell>
          <cell r="L31" t="str">
            <v>m2</v>
          </cell>
          <cell r="M31">
            <v>148500</v>
          </cell>
          <cell r="N31">
            <v>918835</v>
          </cell>
          <cell r="P31">
            <v>34961</v>
          </cell>
          <cell r="Q31" t="str">
            <v>DEBİSAN</v>
          </cell>
          <cell r="R31" t="str">
            <v>1'1/2 trifonlu kelepçe</v>
          </cell>
          <cell r="S31" t="str">
            <v>Adet</v>
          </cell>
          <cell r="T31">
            <v>500</v>
          </cell>
          <cell r="U31">
            <v>32526</v>
          </cell>
          <cell r="W31">
            <v>34984</v>
          </cell>
          <cell r="X31" t="str">
            <v>ÇESAN</v>
          </cell>
          <cell r="Y31" t="str">
            <v>R257(320*215)+Q221/221(500*215)</v>
          </cell>
          <cell r="Z31" t="str">
            <v>kg</v>
          </cell>
          <cell r="AA31">
            <v>13370</v>
          </cell>
          <cell r="AB31">
            <v>23420</v>
          </cell>
          <cell r="AD31">
            <v>34972</v>
          </cell>
          <cell r="AE31" t="str">
            <v>AKTİF ISI</v>
          </cell>
          <cell r="AF31" t="str">
            <v>Radyatör konsolu</v>
          </cell>
          <cell r="AG31" t="str">
            <v>Adet</v>
          </cell>
          <cell r="AH31">
            <v>5300</v>
          </cell>
          <cell r="AI31">
            <v>579970</v>
          </cell>
        </row>
        <row r="32">
          <cell r="I32">
            <v>34972</v>
          </cell>
          <cell r="J32" t="str">
            <v>YTONG A.Ş.</v>
          </cell>
          <cell r="K32" t="str">
            <v>Ytong 18 G2 60*25*13,5</v>
          </cell>
          <cell r="L32" t="str">
            <v>m2</v>
          </cell>
          <cell r="M32">
            <v>148500</v>
          </cell>
          <cell r="N32">
            <v>918853</v>
          </cell>
          <cell r="P32">
            <v>34961</v>
          </cell>
          <cell r="Q32" t="str">
            <v>DEBİSAN</v>
          </cell>
          <cell r="R32" t="str">
            <v>2'' trifonlu kelepçe</v>
          </cell>
          <cell r="S32" t="str">
            <v>Adet</v>
          </cell>
          <cell r="T32">
            <v>200</v>
          </cell>
          <cell r="U32">
            <v>32526</v>
          </cell>
          <cell r="W32">
            <v>34985</v>
          </cell>
          <cell r="X32" t="str">
            <v>ÇESAN</v>
          </cell>
          <cell r="Y32" t="str">
            <v>R257(415*215)+Q221/221(330*215)</v>
          </cell>
          <cell r="Z32" t="str">
            <v>kg</v>
          </cell>
          <cell r="AA32">
            <v>12020</v>
          </cell>
          <cell r="AB32">
            <v>23272</v>
          </cell>
          <cell r="AD32">
            <v>34972</v>
          </cell>
          <cell r="AE32" t="str">
            <v>AKTİF ISI</v>
          </cell>
          <cell r="AF32" t="str">
            <v>1''1/2 fuel oıl filitresi</v>
          </cell>
          <cell r="AG32" t="str">
            <v>Adet</v>
          </cell>
          <cell r="AH32">
            <v>1</v>
          </cell>
          <cell r="AI32">
            <v>579970</v>
          </cell>
        </row>
        <row r="33">
          <cell r="I33">
            <v>34974</v>
          </cell>
          <cell r="J33" t="str">
            <v>YTONG A.Ş.</v>
          </cell>
          <cell r="K33" t="str">
            <v>Ytong 18 G2 60*25*13,5</v>
          </cell>
          <cell r="L33" t="str">
            <v>m2</v>
          </cell>
          <cell r="M33">
            <v>148500</v>
          </cell>
          <cell r="N33">
            <v>918947</v>
          </cell>
          <cell r="P33">
            <v>34961</v>
          </cell>
          <cell r="Q33" t="str">
            <v>DEBİSAN</v>
          </cell>
          <cell r="R33" t="str">
            <v>Doğalfaz macunu 0.400 gr</v>
          </cell>
          <cell r="S33" t="str">
            <v>Adet</v>
          </cell>
          <cell r="T33">
            <v>100</v>
          </cell>
          <cell r="U33">
            <v>32526</v>
          </cell>
          <cell r="W33">
            <v>34985</v>
          </cell>
          <cell r="X33" t="str">
            <v>ÇESAN</v>
          </cell>
          <cell r="Y33" t="str">
            <v>R257(520*215)+Q221/221(330*215)</v>
          </cell>
          <cell r="Z33" t="str">
            <v>kg</v>
          </cell>
          <cell r="AA33">
            <v>12970</v>
          </cell>
          <cell r="AB33">
            <v>23255</v>
          </cell>
          <cell r="AD33">
            <v>34972</v>
          </cell>
          <cell r="AE33" t="str">
            <v>AKTİF ISI</v>
          </cell>
          <cell r="AF33" t="str">
            <v>Rody contası</v>
          </cell>
          <cell r="AG33" t="str">
            <v>Adet</v>
          </cell>
          <cell r="AH33">
            <v>1000</v>
          </cell>
          <cell r="AI33">
            <v>579970</v>
          </cell>
        </row>
        <row r="34">
          <cell r="I34">
            <v>34976</v>
          </cell>
          <cell r="J34" t="str">
            <v>YTONG A.Ş.</v>
          </cell>
          <cell r="K34" t="str">
            <v>Ytong 18 G2 60*25*13,5</v>
          </cell>
          <cell r="L34" t="str">
            <v>m2</v>
          </cell>
          <cell r="M34">
            <v>148500</v>
          </cell>
          <cell r="N34">
            <v>919079</v>
          </cell>
          <cell r="P34">
            <v>34963</v>
          </cell>
          <cell r="Q34" t="str">
            <v>DEBİSAN</v>
          </cell>
          <cell r="R34" t="str">
            <v>2kw ısıtıcı</v>
          </cell>
          <cell r="S34" t="str">
            <v>Adet</v>
          </cell>
          <cell r="T34">
            <v>1</v>
          </cell>
          <cell r="U34">
            <v>32543</v>
          </cell>
          <cell r="W34">
            <v>34986</v>
          </cell>
          <cell r="X34" t="str">
            <v>ÇESAN</v>
          </cell>
          <cell r="Y34" t="str">
            <v>R257(415*215)+Q221/221(330*215)</v>
          </cell>
          <cell r="Z34" t="str">
            <v>kg</v>
          </cell>
          <cell r="AA34">
            <v>12513</v>
          </cell>
          <cell r="AB34">
            <v>23273</v>
          </cell>
          <cell r="AD34">
            <v>34983</v>
          </cell>
          <cell r="AE34" t="str">
            <v>AKTİF ISI</v>
          </cell>
          <cell r="AF34" t="str">
            <v>Radyatör sağ redüksiyonu</v>
          </cell>
          <cell r="AG34" t="str">
            <v>Adet</v>
          </cell>
          <cell r="AH34">
            <v>30</v>
          </cell>
          <cell r="AI34">
            <v>580015</v>
          </cell>
        </row>
        <row r="35">
          <cell r="I35">
            <v>34985</v>
          </cell>
          <cell r="J35" t="str">
            <v>YTONG A.Ş.</v>
          </cell>
          <cell r="K35" t="str">
            <v>Ytong 18 G2 60*25*13,5</v>
          </cell>
          <cell r="L35" t="str">
            <v>m2</v>
          </cell>
          <cell r="M35">
            <v>148500</v>
          </cell>
          <cell r="N35">
            <v>919671</v>
          </cell>
          <cell r="P35">
            <v>34963</v>
          </cell>
          <cell r="Q35" t="str">
            <v>DEBİSAN</v>
          </cell>
          <cell r="R35" t="str">
            <v>Isıtıcı termostatı</v>
          </cell>
          <cell r="S35" t="str">
            <v>Adet</v>
          </cell>
          <cell r="T35">
            <v>1</v>
          </cell>
          <cell r="U35">
            <v>32543</v>
          </cell>
          <cell r="W35">
            <v>34985</v>
          </cell>
          <cell r="X35" t="str">
            <v>ÇESAN</v>
          </cell>
          <cell r="Y35" t="str">
            <v>R257(320*215)+Q221/221(330*215)</v>
          </cell>
          <cell r="Z35" t="str">
            <v>kg</v>
          </cell>
          <cell r="AA35">
            <v>15250</v>
          </cell>
          <cell r="AB35">
            <v>23268</v>
          </cell>
          <cell r="AD35">
            <v>34983</v>
          </cell>
          <cell r="AE35" t="str">
            <v>KÖK</v>
          </cell>
          <cell r="AF35" t="str">
            <v>Kereste</v>
          </cell>
          <cell r="AG35" t="str">
            <v>m3</v>
          </cell>
          <cell r="AH35">
            <v>18480</v>
          </cell>
          <cell r="AI35">
            <v>15385</v>
          </cell>
        </row>
        <row r="36">
          <cell r="I36">
            <v>34986</v>
          </cell>
          <cell r="J36" t="str">
            <v>YTONG A.Ş.</v>
          </cell>
          <cell r="K36" t="str">
            <v>Ytong 18 G2 60*25*13,5</v>
          </cell>
          <cell r="L36" t="str">
            <v>m2</v>
          </cell>
          <cell r="M36">
            <v>148500</v>
          </cell>
          <cell r="N36">
            <v>919738</v>
          </cell>
          <cell r="P36">
            <v>34963</v>
          </cell>
          <cell r="Q36" t="str">
            <v>DEBİSAN</v>
          </cell>
          <cell r="R36" t="str">
            <v>Kazan termostatı</v>
          </cell>
          <cell r="S36" t="str">
            <v>Adet</v>
          </cell>
          <cell r="T36">
            <v>1</v>
          </cell>
          <cell r="U36">
            <v>32543</v>
          </cell>
          <cell r="W36">
            <v>34985</v>
          </cell>
          <cell r="X36" t="str">
            <v>ÇESAN</v>
          </cell>
          <cell r="Y36" t="str">
            <v>R257(415*215)+Q221/221</v>
          </cell>
          <cell r="AD36">
            <v>34986</v>
          </cell>
          <cell r="AE36" t="str">
            <v>KÖK</v>
          </cell>
          <cell r="AF36" t="str">
            <v>Kereste</v>
          </cell>
          <cell r="AG36" t="str">
            <v>m3</v>
          </cell>
          <cell r="AH36">
            <v>18000</v>
          </cell>
          <cell r="AI36">
            <v>15384</v>
          </cell>
        </row>
        <row r="37">
          <cell r="I37">
            <v>34982</v>
          </cell>
          <cell r="J37" t="str">
            <v>YTONG A.Ş.</v>
          </cell>
          <cell r="K37" t="str">
            <v>Ytong TX G2 60*25*13.5</v>
          </cell>
          <cell r="L37" t="str">
            <v>m3</v>
          </cell>
          <cell r="M37">
            <v>148500</v>
          </cell>
          <cell r="N37">
            <v>919445</v>
          </cell>
          <cell r="P37">
            <v>34963</v>
          </cell>
          <cell r="Q37" t="str">
            <v>DEBİSAN</v>
          </cell>
          <cell r="R37" t="str">
            <v>M3 VDA</v>
          </cell>
          <cell r="S37" t="str">
            <v>Adet</v>
          </cell>
          <cell r="T37">
            <v>1</v>
          </cell>
          <cell r="U37">
            <v>32543</v>
          </cell>
          <cell r="Y37" t="str">
            <v>(330*215)+R257(520*215)</v>
          </cell>
          <cell r="Z37" t="str">
            <v>kg</v>
          </cell>
          <cell r="AA37">
            <v>12430</v>
          </cell>
          <cell r="AB37">
            <v>23258</v>
          </cell>
          <cell r="AD37">
            <v>34985</v>
          </cell>
          <cell r="AE37" t="str">
            <v>KÖK</v>
          </cell>
          <cell r="AF37" t="str">
            <v>Kereste</v>
          </cell>
          <cell r="AG37" t="str">
            <v>m3</v>
          </cell>
          <cell r="AH37">
            <v>16012</v>
          </cell>
          <cell r="AI37">
            <v>15387</v>
          </cell>
        </row>
        <row r="38">
          <cell r="I38">
            <v>34983</v>
          </cell>
          <cell r="J38" t="str">
            <v>YTONG A.Ş.</v>
          </cell>
          <cell r="K38" t="str">
            <v>Ytong TX G2 60*25*13.5</v>
          </cell>
          <cell r="L38" t="str">
            <v>m3</v>
          </cell>
          <cell r="M38">
            <v>148500</v>
          </cell>
          <cell r="N38">
            <v>919536</v>
          </cell>
          <cell r="P38">
            <v>34963</v>
          </cell>
          <cell r="Q38" t="str">
            <v>DEBİSAN</v>
          </cell>
          <cell r="R38" t="str">
            <v>Rody contası</v>
          </cell>
          <cell r="S38" t="str">
            <v>Adet</v>
          </cell>
          <cell r="T38">
            <v>500</v>
          </cell>
          <cell r="U38">
            <v>32543</v>
          </cell>
          <cell r="W38">
            <v>34984</v>
          </cell>
          <cell r="X38" t="str">
            <v>ÇESAN</v>
          </cell>
          <cell r="Y38" t="str">
            <v>R257(470*215)+Q221/221(500*215)</v>
          </cell>
          <cell r="Z38" t="str">
            <v>kg</v>
          </cell>
          <cell r="AA38">
            <v>13600</v>
          </cell>
          <cell r="AB38">
            <v>23250</v>
          </cell>
          <cell r="AD38">
            <v>34986</v>
          </cell>
          <cell r="AE38" t="str">
            <v>KÖK</v>
          </cell>
          <cell r="AF38" t="str">
            <v>Kereste</v>
          </cell>
          <cell r="AG38" t="str">
            <v>m3</v>
          </cell>
          <cell r="AH38">
            <v>11741</v>
          </cell>
          <cell r="AI38">
            <v>15390</v>
          </cell>
        </row>
        <row r="39">
          <cell r="I39">
            <v>34962</v>
          </cell>
          <cell r="J39" t="str">
            <v>YTONG A.Ş.</v>
          </cell>
          <cell r="K39" t="str">
            <v xml:space="preserve">Ytong TX G2 60*25*8.5  </v>
          </cell>
          <cell r="L39" t="str">
            <v>m2</v>
          </cell>
          <cell r="M39">
            <v>243000</v>
          </cell>
          <cell r="N39">
            <v>918196</v>
          </cell>
          <cell r="P39">
            <v>34963</v>
          </cell>
          <cell r="Q39" t="str">
            <v>DEBİSAN</v>
          </cell>
          <cell r="R39" t="str">
            <v>1/2 klimfex boru</v>
          </cell>
          <cell r="S39" t="str">
            <v>mt</v>
          </cell>
          <cell r="T39">
            <v>150</v>
          </cell>
          <cell r="U39">
            <v>32543</v>
          </cell>
          <cell r="W39">
            <v>34984</v>
          </cell>
          <cell r="X39" t="str">
            <v>DEMİR SANAYİİ</v>
          </cell>
          <cell r="Y39" t="str">
            <v>İnce düz demir</v>
          </cell>
          <cell r="Z39" t="str">
            <v>kg</v>
          </cell>
          <cell r="AA39">
            <v>40240</v>
          </cell>
          <cell r="AB39">
            <v>108427</v>
          </cell>
          <cell r="AD39">
            <v>34967</v>
          </cell>
          <cell r="AE39" t="str">
            <v>MEKİSAN</v>
          </cell>
          <cell r="AF39" t="str">
            <v>800*2000mm sağ sac astar</v>
          </cell>
        </row>
        <row r="40">
          <cell r="I40">
            <v>34964</v>
          </cell>
          <cell r="J40" t="str">
            <v>YTONG A.Ş.</v>
          </cell>
          <cell r="K40" t="str">
            <v xml:space="preserve">Ytong TX G2 60*25*8.5  </v>
          </cell>
          <cell r="L40" t="str">
            <v>m2</v>
          </cell>
          <cell r="M40">
            <v>243000</v>
          </cell>
          <cell r="N40">
            <v>918326</v>
          </cell>
          <cell r="P40">
            <v>34963</v>
          </cell>
          <cell r="Q40" t="str">
            <v>DEBİSAN</v>
          </cell>
          <cell r="R40" t="str">
            <v>3/4 klimfex boru</v>
          </cell>
          <cell r="S40" t="str">
            <v>mt</v>
          </cell>
          <cell r="T40">
            <v>80</v>
          </cell>
          <cell r="U40">
            <v>32543</v>
          </cell>
          <cell r="W40">
            <v>34986</v>
          </cell>
          <cell r="X40" t="str">
            <v>DEMİR SANAYİİ</v>
          </cell>
          <cell r="Y40" t="str">
            <v>İnce düz demir</v>
          </cell>
          <cell r="Z40" t="str">
            <v>kg</v>
          </cell>
          <cell r="AA40">
            <v>5000</v>
          </cell>
          <cell r="AB40">
            <v>108498</v>
          </cell>
          <cell r="AF40" t="str">
            <v>boyalı kapı komple</v>
          </cell>
          <cell r="AG40" t="str">
            <v>Adet</v>
          </cell>
          <cell r="AH40">
            <v>1</v>
          </cell>
          <cell r="AI40">
            <v>2435</v>
          </cell>
        </row>
        <row r="41">
          <cell r="I41">
            <v>34964</v>
          </cell>
          <cell r="J41" t="str">
            <v>YTONG A.Ş.</v>
          </cell>
          <cell r="K41" t="str">
            <v xml:space="preserve">Ytong TX G2 60*25*8.5  </v>
          </cell>
          <cell r="L41" t="str">
            <v>m2</v>
          </cell>
          <cell r="M41">
            <v>243000</v>
          </cell>
          <cell r="N41">
            <v>918343</v>
          </cell>
          <cell r="P41">
            <v>34963</v>
          </cell>
          <cell r="Q41" t="str">
            <v>DEBİSAN</v>
          </cell>
          <cell r="R41" t="str">
            <v>1'' klimfex boru</v>
          </cell>
          <cell r="S41" t="str">
            <v>mt</v>
          </cell>
          <cell r="T41">
            <v>60</v>
          </cell>
          <cell r="U41">
            <v>32543</v>
          </cell>
          <cell r="W41">
            <v>34984</v>
          </cell>
          <cell r="X41" t="str">
            <v>İÇDAŞ</v>
          </cell>
          <cell r="Y41" t="str">
            <v>İnce nervürlü demir</v>
          </cell>
          <cell r="Z41" t="str">
            <v>kg</v>
          </cell>
          <cell r="AA41">
            <v>6170</v>
          </cell>
          <cell r="AB41">
            <v>158216</v>
          </cell>
          <cell r="AD41">
            <v>34967</v>
          </cell>
          <cell r="AE41" t="str">
            <v>MEKİSAN</v>
          </cell>
          <cell r="AF41" t="str">
            <v>700*2000mm sol sac astar</v>
          </cell>
        </row>
        <row r="42">
          <cell r="I42">
            <v>34965</v>
          </cell>
          <cell r="J42" t="str">
            <v>YTONG A.Ş.</v>
          </cell>
          <cell r="K42" t="str">
            <v xml:space="preserve">Ytong TX G2 60*25*8.5  </v>
          </cell>
          <cell r="L42" t="str">
            <v>m2</v>
          </cell>
          <cell r="M42">
            <v>243000</v>
          </cell>
          <cell r="N42">
            <v>918415</v>
          </cell>
          <cell r="P42">
            <v>34963</v>
          </cell>
          <cell r="Q42" t="str">
            <v>DEBİSAN</v>
          </cell>
          <cell r="R42" t="str">
            <v>1'1/4 klimfex boru</v>
          </cell>
          <cell r="S42" t="str">
            <v>mt</v>
          </cell>
          <cell r="T42">
            <v>20</v>
          </cell>
          <cell r="U42">
            <v>32543</v>
          </cell>
          <cell r="W42">
            <v>34984</v>
          </cell>
          <cell r="X42" t="str">
            <v>İÇDAŞ</v>
          </cell>
          <cell r="Y42" t="str">
            <v>Kalın nervürlü demir</v>
          </cell>
          <cell r="Z42" t="str">
            <v>kg</v>
          </cell>
          <cell r="AA42">
            <v>34195</v>
          </cell>
          <cell r="AB42">
            <v>158216</v>
          </cell>
          <cell r="AF42" t="str">
            <v>boyalı kapı komple</v>
          </cell>
          <cell r="AG42" t="str">
            <v>Adet</v>
          </cell>
          <cell r="AH42">
            <v>1</v>
          </cell>
          <cell r="AI42">
            <v>2435</v>
          </cell>
        </row>
        <row r="43">
          <cell r="I43">
            <v>34967</v>
          </cell>
          <cell r="J43" t="str">
            <v>YTONG A.Ş.</v>
          </cell>
          <cell r="K43" t="str">
            <v xml:space="preserve">Ytong TX G2 60*25*8.5  </v>
          </cell>
          <cell r="L43" t="str">
            <v>m2</v>
          </cell>
          <cell r="M43">
            <v>243000</v>
          </cell>
          <cell r="N43">
            <v>918442</v>
          </cell>
          <cell r="P43">
            <v>34963</v>
          </cell>
          <cell r="Q43" t="str">
            <v>DEBİSAN</v>
          </cell>
          <cell r="R43" t="str">
            <v>1'1/2 klimfex boru</v>
          </cell>
          <cell r="S43" t="str">
            <v>mt</v>
          </cell>
          <cell r="T43">
            <v>10</v>
          </cell>
          <cell r="U43">
            <v>32543</v>
          </cell>
          <cell r="W43">
            <v>34984</v>
          </cell>
          <cell r="X43" t="str">
            <v>İÇDAŞ</v>
          </cell>
          <cell r="Y43" t="str">
            <v>Kalın nervürlü demir</v>
          </cell>
          <cell r="Z43" t="str">
            <v>kg</v>
          </cell>
          <cell r="AA43">
            <v>30070</v>
          </cell>
          <cell r="AB43">
            <v>158217</v>
          </cell>
          <cell r="AD43">
            <v>34970</v>
          </cell>
          <cell r="AE43" t="str">
            <v>YLMAZLAR</v>
          </cell>
          <cell r="AF43" t="str">
            <v>Ayna</v>
          </cell>
          <cell r="AG43" t="str">
            <v>Adet</v>
          </cell>
          <cell r="AH43">
            <v>1</v>
          </cell>
          <cell r="AI43">
            <v>105696</v>
          </cell>
        </row>
        <row r="44">
          <cell r="I44">
            <v>34968</v>
          </cell>
          <cell r="J44" t="str">
            <v>YTONG A.Ş.</v>
          </cell>
          <cell r="K44" t="str">
            <v>Ytong LW G3 120*20*8.5</v>
          </cell>
          <cell r="L44" t="str">
            <v>m2</v>
          </cell>
          <cell r="M44">
            <v>7560</v>
          </cell>
          <cell r="N44">
            <v>918522</v>
          </cell>
          <cell r="P44">
            <v>34963</v>
          </cell>
          <cell r="Q44" t="str">
            <v>DEBİSAN</v>
          </cell>
          <cell r="R44" t="str">
            <v>40/80 trifaze pompa</v>
          </cell>
          <cell r="S44" t="str">
            <v>Adet</v>
          </cell>
          <cell r="T44">
            <v>2</v>
          </cell>
          <cell r="U44">
            <v>32543</v>
          </cell>
          <cell r="W44">
            <v>34984</v>
          </cell>
          <cell r="X44" t="str">
            <v>İÇDAŞ</v>
          </cell>
          <cell r="Y44" t="str">
            <v>Kalın nervürlü demir</v>
          </cell>
          <cell r="Z44" t="str">
            <v>kg</v>
          </cell>
          <cell r="AA44">
            <v>36600</v>
          </cell>
          <cell r="AB44">
            <v>158225</v>
          </cell>
          <cell r="AD44">
            <v>34971</v>
          </cell>
          <cell r="AE44" t="str">
            <v>TEKSMAK KİMYA</v>
          </cell>
          <cell r="AF44" t="str">
            <v>Lüx cephe boyası</v>
          </cell>
          <cell r="AG44" t="str">
            <v>Adet</v>
          </cell>
          <cell r="AH44">
            <v>1</v>
          </cell>
          <cell r="AI44">
            <v>3181</v>
          </cell>
        </row>
        <row r="45">
          <cell r="I45">
            <v>34970</v>
          </cell>
          <cell r="J45" t="str">
            <v>YTONG A.Ş.</v>
          </cell>
          <cell r="K45" t="str">
            <v xml:space="preserve">Ytong TX G2 60*25*8.5  </v>
          </cell>
          <cell r="L45" t="str">
            <v>m2</v>
          </cell>
          <cell r="M45">
            <v>243000</v>
          </cell>
          <cell r="N45">
            <v>918722</v>
          </cell>
          <cell r="P45">
            <v>34963</v>
          </cell>
          <cell r="Q45" t="str">
            <v>DEBİSAN</v>
          </cell>
          <cell r="R45" t="str">
            <v>40' lık sürgü vana</v>
          </cell>
          <cell r="S45" t="str">
            <v>Adet</v>
          </cell>
          <cell r="T45">
            <v>4</v>
          </cell>
          <cell r="U45">
            <v>32543</v>
          </cell>
          <cell r="W45">
            <v>34979</v>
          </cell>
          <cell r="X45" t="str">
            <v>OĞUZ MERMER SAN.</v>
          </cell>
          <cell r="Y45" t="str">
            <v>3cm mermer</v>
          </cell>
          <cell r="Z45" t="str">
            <v>m2</v>
          </cell>
          <cell r="AA45" t="str">
            <v>145.73</v>
          </cell>
          <cell r="AB45">
            <v>534825</v>
          </cell>
          <cell r="AD45">
            <v>34960</v>
          </cell>
          <cell r="AE45" t="str">
            <v>YÜKSEL KALIP</v>
          </cell>
          <cell r="AF45" t="str">
            <v>Küvet troplen</v>
          </cell>
          <cell r="AG45" t="str">
            <v>Adet</v>
          </cell>
          <cell r="AH45">
            <v>500</v>
          </cell>
          <cell r="AI45">
            <v>82435</v>
          </cell>
        </row>
        <row r="46">
          <cell r="I46">
            <v>34972</v>
          </cell>
          <cell r="J46" t="str">
            <v>YTONG A.Ş.</v>
          </cell>
          <cell r="K46" t="str">
            <v xml:space="preserve">Ytong TX G2 60*25*8.5  </v>
          </cell>
          <cell r="L46" t="str">
            <v>m2</v>
          </cell>
          <cell r="M46">
            <v>243000</v>
          </cell>
          <cell r="N46">
            <v>918852</v>
          </cell>
          <cell r="P46">
            <v>34963</v>
          </cell>
          <cell r="Q46" t="str">
            <v>DEBİSAN</v>
          </cell>
          <cell r="R46" t="str">
            <v>40' lık düz flanş</v>
          </cell>
          <cell r="S46" t="str">
            <v>Adet</v>
          </cell>
          <cell r="T46">
            <v>4</v>
          </cell>
          <cell r="U46">
            <v>32543</v>
          </cell>
          <cell r="W46">
            <v>34981</v>
          </cell>
          <cell r="X46" t="str">
            <v>OĞUZ MERMER SAN.</v>
          </cell>
          <cell r="Y46" t="str">
            <v>3cm cilalı marmara mermeri</v>
          </cell>
          <cell r="Z46" t="str">
            <v>m2</v>
          </cell>
          <cell r="AA46" t="str">
            <v>153.26</v>
          </cell>
          <cell r="AB46">
            <v>534827</v>
          </cell>
          <cell r="AD46">
            <v>34963</v>
          </cell>
          <cell r="AE46" t="str">
            <v>BAKIMAY</v>
          </cell>
          <cell r="AF46" t="str">
            <v>Büyük gövde lavobo sifonu</v>
          </cell>
          <cell r="AG46" t="str">
            <v>Adet</v>
          </cell>
          <cell r="AH46">
            <v>560</v>
          </cell>
          <cell r="AI46">
            <v>834034</v>
          </cell>
        </row>
        <row r="47">
          <cell r="I47">
            <v>34976</v>
          </cell>
          <cell r="J47" t="str">
            <v>YTONG A.Ş.</v>
          </cell>
          <cell r="K47" t="str">
            <v xml:space="preserve">Ytong TX G2 60*25*8.5  </v>
          </cell>
          <cell r="L47" t="str">
            <v>m2</v>
          </cell>
          <cell r="M47">
            <v>243000</v>
          </cell>
          <cell r="N47">
            <v>919080</v>
          </cell>
          <cell r="P47">
            <v>34963</v>
          </cell>
          <cell r="Q47" t="str">
            <v>DEBİSAN</v>
          </cell>
          <cell r="R47" t="str">
            <v>30' luk pot. depo</v>
          </cell>
          <cell r="S47" t="str">
            <v>Adet</v>
          </cell>
          <cell r="T47">
            <v>1</v>
          </cell>
          <cell r="U47">
            <v>32543</v>
          </cell>
          <cell r="W47">
            <v>34965</v>
          </cell>
          <cell r="X47" t="str">
            <v>OĞUZ MERMER SAN.</v>
          </cell>
          <cell r="Y47" t="str">
            <v>3cm cilalı marmara denizlik</v>
          </cell>
          <cell r="Z47" t="str">
            <v>m2</v>
          </cell>
          <cell r="AA47" t="str">
            <v>32.99</v>
          </cell>
          <cell r="AD47">
            <v>34976</v>
          </cell>
          <cell r="AE47" t="str">
            <v>CAMCIOĞLU</v>
          </cell>
          <cell r="AF47" t="str">
            <v>Çam köknar kereste</v>
          </cell>
          <cell r="AG47" t="str">
            <v>m3</v>
          </cell>
          <cell r="AH47">
            <v>1905</v>
          </cell>
          <cell r="AI47">
            <v>188480</v>
          </cell>
        </row>
        <row r="48">
          <cell r="I48">
            <v>34964</v>
          </cell>
          <cell r="J48" t="str">
            <v>YTONG A.Ş.</v>
          </cell>
          <cell r="K48" t="str">
            <v>Ytong LW G3 415*30*12,5</v>
          </cell>
          <cell r="L48" t="str">
            <v>m2</v>
          </cell>
          <cell r="M48">
            <v>7470</v>
          </cell>
          <cell r="N48">
            <v>918340</v>
          </cell>
          <cell r="P48">
            <v>34960</v>
          </cell>
          <cell r="Q48" t="str">
            <v>FIRAT PLASTİK</v>
          </cell>
          <cell r="R48" t="str">
            <v>100/70 T çatal</v>
          </cell>
          <cell r="S48" t="str">
            <v>Adet</v>
          </cell>
          <cell r="T48">
            <v>800</v>
          </cell>
          <cell r="U48">
            <v>566362</v>
          </cell>
          <cell r="W48">
            <v>34965</v>
          </cell>
          <cell r="X48" t="str">
            <v>OĞUZ MERMER SAN.</v>
          </cell>
          <cell r="Y48" t="str">
            <v>3cm cilalı marmara eşik</v>
          </cell>
          <cell r="Z48" t="str">
            <v>m2</v>
          </cell>
          <cell r="AA48" t="str">
            <v>0.55</v>
          </cell>
          <cell r="AD48">
            <v>34984</v>
          </cell>
          <cell r="AE48" t="str">
            <v>CAMCIOĞLU</v>
          </cell>
          <cell r="AF48" t="str">
            <v>Çam köknar kereste</v>
          </cell>
          <cell r="AG48" t="str">
            <v>m3</v>
          </cell>
          <cell r="AH48">
            <v>19753</v>
          </cell>
          <cell r="AI48">
            <v>188482</v>
          </cell>
        </row>
        <row r="49">
          <cell r="I49">
            <v>34964</v>
          </cell>
          <cell r="J49" t="str">
            <v>YTONG A.Ş.</v>
          </cell>
          <cell r="K49" t="str">
            <v>Ytong LW G3 306*30*10</v>
          </cell>
          <cell r="L49" t="str">
            <v>m2</v>
          </cell>
          <cell r="M49">
            <v>1836</v>
          </cell>
          <cell r="N49">
            <v>918340</v>
          </cell>
          <cell r="P49">
            <v>34960</v>
          </cell>
          <cell r="Q49" t="str">
            <v>FIRAT PLASTİK</v>
          </cell>
          <cell r="R49" t="str">
            <v>50/250 PVC atık su borusu</v>
          </cell>
          <cell r="S49" t="str">
            <v>Adet</v>
          </cell>
          <cell r="T49">
            <v>720</v>
          </cell>
          <cell r="U49">
            <v>566362</v>
          </cell>
          <cell r="W49">
            <v>34971</v>
          </cell>
          <cell r="X49" t="str">
            <v>OĞUZ MERMER SAN.</v>
          </cell>
          <cell r="Y49" t="str">
            <v xml:space="preserve">3cm cilalı marmara </v>
          </cell>
          <cell r="Z49" t="str">
            <v>m2</v>
          </cell>
          <cell r="AA49" t="str">
            <v>7.14</v>
          </cell>
          <cell r="AD49">
            <v>34986</v>
          </cell>
          <cell r="AE49" t="str">
            <v>CAMCIOĞLU</v>
          </cell>
          <cell r="AF49" t="str">
            <v>Çam köknar kereste</v>
          </cell>
          <cell r="AG49" t="str">
            <v>m3</v>
          </cell>
          <cell r="AH49">
            <v>25025</v>
          </cell>
          <cell r="AI49">
            <v>188483</v>
          </cell>
        </row>
        <row r="50">
          <cell r="I50">
            <v>34964</v>
          </cell>
          <cell r="J50" t="str">
            <v>YTONG A.Ş.</v>
          </cell>
          <cell r="K50" t="str">
            <v>Ytong LW G3 240*30*10</v>
          </cell>
          <cell r="L50" t="str">
            <v>m2</v>
          </cell>
          <cell r="M50">
            <v>2160</v>
          </cell>
          <cell r="N50">
            <v>918340</v>
          </cell>
          <cell r="P50">
            <v>34960</v>
          </cell>
          <cell r="Q50" t="str">
            <v>FIRAT PLASTİK</v>
          </cell>
          <cell r="R50" t="str">
            <v>50/500 PVC atık su borusu</v>
          </cell>
          <cell r="S50" t="str">
            <v>Adet</v>
          </cell>
          <cell r="T50">
            <v>460</v>
          </cell>
          <cell r="U50">
            <v>566362</v>
          </cell>
          <cell r="W50">
            <v>34971</v>
          </cell>
          <cell r="X50" t="str">
            <v>OĞUZ MERMER SAN.</v>
          </cell>
          <cell r="Y50" t="str">
            <v>2 cm cilalı marmara</v>
          </cell>
          <cell r="Z50" t="str">
            <v>m2</v>
          </cell>
          <cell r="AA50" t="str">
            <v>40.29</v>
          </cell>
          <cell r="AD50">
            <v>34983</v>
          </cell>
          <cell r="AE50" t="str">
            <v>EGE PAZARLAMA</v>
          </cell>
          <cell r="AF50" t="str">
            <v>Beyaz derzer</v>
          </cell>
          <cell r="AG50" t="str">
            <v>kg</v>
          </cell>
          <cell r="AH50">
            <v>2700</v>
          </cell>
          <cell r="AI50">
            <v>61009</v>
          </cell>
        </row>
        <row r="51">
          <cell r="I51">
            <v>34964</v>
          </cell>
          <cell r="J51" t="str">
            <v>YTONG A.Ş.</v>
          </cell>
          <cell r="K51" t="str">
            <v>Ytong LW G3 167*30*10</v>
          </cell>
          <cell r="L51" t="str">
            <v>m2</v>
          </cell>
          <cell r="M51">
            <v>3006</v>
          </cell>
          <cell r="N51">
            <v>918340</v>
          </cell>
          <cell r="P51">
            <v>34960</v>
          </cell>
          <cell r="Q51" t="str">
            <v>FIRAT PLASTİK</v>
          </cell>
          <cell r="R51" t="str">
            <v>100/250 PVC atık su borusu</v>
          </cell>
          <cell r="S51" t="str">
            <v>Adet</v>
          </cell>
          <cell r="T51">
            <v>550</v>
          </cell>
          <cell r="U51">
            <v>566362</v>
          </cell>
          <cell r="W51">
            <v>34981</v>
          </cell>
          <cell r="X51" t="str">
            <v>OĞUZ MERMER SAN.</v>
          </cell>
          <cell r="Y51" t="str">
            <v>3cm cilalı marmara denizlik</v>
          </cell>
          <cell r="Z51" t="str">
            <v>m2</v>
          </cell>
          <cell r="AA51" t="str">
            <v>153.26</v>
          </cell>
          <cell r="AD51">
            <v>34983</v>
          </cell>
          <cell r="AE51" t="str">
            <v>POLAT İNŞ.</v>
          </cell>
          <cell r="AF51" t="str">
            <v>Serakol 30/1</v>
          </cell>
          <cell r="AG51" t="str">
            <v>kg</v>
          </cell>
          <cell r="AH51">
            <v>3000</v>
          </cell>
          <cell r="AI51">
            <v>804645</v>
          </cell>
        </row>
        <row r="52">
          <cell r="I52">
            <v>34964</v>
          </cell>
          <cell r="J52" t="str">
            <v>YTONG A.Ş.</v>
          </cell>
          <cell r="K52" t="str">
            <v>Ytong LW G3 110*30*10</v>
          </cell>
          <cell r="L52" t="str">
            <v>m2</v>
          </cell>
          <cell r="M52" t="str">
            <v>0.990</v>
          </cell>
          <cell r="N52">
            <v>918340</v>
          </cell>
          <cell r="P52">
            <v>34960</v>
          </cell>
          <cell r="Q52" t="str">
            <v>FIRAT PLASTİK</v>
          </cell>
          <cell r="R52" t="str">
            <v>100/3000 PVC atık su borusu</v>
          </cell>
          <cell r="S52" t="str">
            <v>Adet</v>
          </cell>
          <cell r="T52">
            <v>605</v>
          </cell>
          <cell r="U52">
            <v>566362</v>
          </cell>
          <cell r="W52">
            <v>34984</v>
          </cell>
          <cell r="X52" t="str">
            <v>OĞUZ MERMER SAN.</v>
          </cell>
          <cell r="Y52" t="str">
            <v>2cm ham marmara mermeri</v>
          </cell>
          <cell r="Z52" t="str">
            <v>m2</v>
          </cell>
          <cell r="AA52">
            <v>223380</v>
          </cell>
          <cell r="AB52">
            <v>534833</v>
          </cell>
          <cell r="AD52">
            <v>34984</v>
          </cell>
          <cell r="AE52" t="str">
            <v>POLAT İNŞ.</v>
          </cell>
          <cell r="AF52" t="str">
            <v>Serakol 30/1</v>
          </cell>
          <cell r="AG52" t="str">
            <v>kg</v>
          </cell>
          <cell r="AH52">
            <v>3000</v>
          </cell>
          <cell r="AI52">
            <v>804663</v>
          </cell>
        </row>
        <row r="53">
          <cell r="J53" t="str">
            <v xml:space="preserve"> MÜTEAHHİT</v>
          </cell>
          <cell r="K53" t="str">
            <v xml:space="preserve"> KONT.MÜH.(TESİSAT)</v>
          </cell>
          <cell r="M53" t="str">
            <v>ORHAN YÜCE</v>
          </cell>
          <cell r="Q53" t="str">
            <v>MÜTEAHHİT</v>
          </cell>
          <cell r="R53" t="str">
            <v xml:space="preserve"> KONT.MÜH.(TESİSAT)</v>
          </cell>
          <cell r="T53" t="str">
            <v>ORHAN YÜCE</v>
          </cell>
          <cell r="X53" t="str">
            <v xml:space="preserve">       MÜTEAHHİT</v>
          </cell>
          <cell r="Y53" t="str">
            <v xml:space="preserve"> KONT.MÜH.(TESİSAT)</v>
          </cell>
          <cell r="AA53" t="str">
            <v>ORHAN YÜCE</v>
          </cell>
          <cell r="AD53">
            <v>34981</v>
          </cell>
          <cell r="AE53" t="str">
            <v>YILDIZ KİREMİT</v>
          </cell>
          <cell r="AF53" t="str">
            <v>13.5'luk tuğla</v>
          </cell>
          <cell r="AG53" t="str">
            <v>Adet</v>
          </cell>
          <cell r="AH53">
            <v>7100</v>
          </cell>
          <cell r="AI53">
            <v>8335</v>
          </cell>
          <cell r="AL53" t="str">
            <v xml:space="preserve">       MÜTEAHHİT</v>
          </cell>
          <cell r="AM53" t="str">
            <v xml:space="preserve"> KONT.MÜH.(TESİSAT)</v>
          </cell>
          <cell r="AO53" t="str">
            <v>ORHAN YÜCE</v>
          </cell>
        </row>
        <row r="54">
          <cell r="J54" t="str">
            <v xml:space="preserve"> BİAT İNŞAAT SAN.</v>
          </cell>
          <cell r="K54" t="str">
            <v>İBRAHİM ARPACI</v>
          </cell>
          <cell r="M54" t="str">
            <v xml:space="preserve">   İNŞ.MÜH.</v>
          </cell>
          <cell r="Q54" t="str">
            <v xml:space="preserve">  BİAT İNŞAAT SAN.</v>
          </cell>
          <cell r="R54" t="str">
            <v>İBRAHİM ARPACI</v>
          </cell>
          <cell r="T54" t="str">
            <v xml:space="preserve">   İNŞ.MÜH.</v>
          </cell>
          <cell r="X54" t="str">
            <v xml:space="preserve">  BİAT İNŞAAT SAN.</v>
          </cell>
          <cell r="Y54" t="str">
            <v>İBRAHİM ARPACI</v>
          </cell>
          <cell r="AA54" t="str">
            <v xml:space="preserve">   İNŞ.MÜH.</v>
          </cell>
          <cell r="AE54" t="str">
            <v xml:space="preserve">              MÜTEAHHİT</v>
          </cell>
          <cell r="AF54" t="str">
            <v xml:space="preserve"> KONT.MÜH.(TESİSAT)</v>
          </cell>
          <cell r="AH54" t="str">
            <v>ORHAN YÜCE</v>
          </cell>
          <cell r="AL54" t="str">
            <v xml:space="preserve">  BİAT İNŞAAT SAN.</v>
          </cell>
          <cell r="AM54" t="str">
            <v>İBRAHİM ARPACI</v>
          </cell>
          <cell r="AO54" t="str">
            <v xml:space="preserve">   İNŞ.MÜH.</v>
          </cell>
        </row>
        <row r="55">
          <cell r="J55" t="str">
            <v xml:space="preserve">       VE TİC. A.Ş.</v>
          </cell>
          <cell r="K55" t="str">
            <v>MAK.MÜH.</v>
          </cell>
          <cell r="M55" t="str">
            <v xml:space="preserve">     Dip.No:88-CAA-23</v>
          </cell>
          <cell r="Q55" t="str">
            <v xml:space="preserve">      VE TİC. A.Ş.</v>
          </cell>
          <cell r="R55" t="str">
            <v>MAK.MÜH.</v>
          </cell>
          <cell r="T55" t="str">
            <v xml:space="preserve">     Dip.No:88-CAA-23</v>
          </cell>
          <cell r="X55" t="str">
            <v xml:space="preserve">      VE TİC. A.Ş.</v>
          </cell>
          <cell r="Y55" t="str">
            <v>MAK.MÜH.</v>
          </cell>
          <cell r="AA55" t="str">
            <v xml:space="preserve">     Dip.No:88-CAA-23</v>
          </cell>
          <cell r="AE55" t="str">
            <v xml:space="preserve"> BİAT İNŞAAT SAN.</v>
          </cell>
          <cell r="AF55" t="str">
            <v>İBRAHİM ARPACI</v>
          </cell>
          <cell r="AH55" t="str">
            <v xml:space="preserve">   İNŞ.MÜH.</v>
          </cell>
          <cell r="AL55" t="str">
            <v xml:space="preserve">     VE TİC. A.Ş.</v>
          </cell>
          <cell r="AM55" t="str">
            <v>MAK.MÜH.</v>
          </cell>
          <cell r="AO55" t="str">
            <v xml:space="preserve">     Dip.No:88-CAA-23</v>
          </cell>
        </row>
        <row r="56">
          <cell r="AE56" t="str">
            <v xml:space="preserve">  VE TİC. A.Ş.</v>
          </cell>
          <cell r="AF56" t="str">
            <v>MAK.MÜH.</v>
          </cell>
          <cell r="AH56" t="str">
            <v xml:space="preserve">     Dip.No:88-CAA-23</v>
          </cell>
        </row>
      </sheetData>
      <sheetData sheetId="1" refreshError="1">
        <row r="1">
          <cell r="A1" t="str">
            <v>NERVÜRLÜ</v>
          </cell>
        </row>
      </sheetData>
      <sheetData sheetId="2" refreshError="1">
        <row r="2">
          <cell r="B2" t="str">
            <v>MÜTEAHHİT</v>
          </cell>
          <cell r="D2" t="str">
            <v>: BİAT  İNŞAAT</v>
          </cell>
          <cell r="P2" t="str">
            <v>HAK. NO   : 11</v>
          </cell>
          <cell r="W2" t="str">
            <v>MÜTEAHHİT</v>
          </cell>
          <cell r="Y2" t="str">
            <v>: BİAT  İNŞAAT</v>
          </cell>
          <cell r="AK2" t="str">
            <v>HAK. NO   : 11</v>
          </cell>
        </row>
        <row r="3">
          <cell r="B3" t="str">
            <v>BÖLGE  NO</v>
          </cell>
          <cell r="D3" t="str">
            <v>: İKİTELLİ 1. BÖLGE</v>
          </cell>
          <cell r="P3" t="str">
            <v>HAK.TARİH :05/07/1996</v>
          </cell>
          <cell r="W3" t="str">
            <v>BÖLGE  NO</v>
          </cell>
          <cell r="Y3" t="str">
            <v>: İKİTELLİ 1. BÖLGE</v>
          </cell>
          <cell r="AK3" t="str">
            <v>HAK.TARİH :05/07/1996</v>
          </cell>
        </row>
        <row r="4">
          <cell r="P4" t="str">
            <v>SAYFA NO  :</v>
          </cell>
          <cell r="R4">
            <v>1</v>
          </cell>
          <cell r="AK4" t="str">
            <v>SAYFA NO  :</v>
          </cell>
        </row>
        <row r="6">
          <cell r="B6" t="str">
            <v>8,5 'LUK HAFİF GAZ BETON  ERİTME  HESAP  TABLOSU</v>
          </cell>
          <cell r="W6" t="str">
            <v>TÜNEL  KALIP  ERİTME  HESAP  TABLOSU</v>
          </cell>
        </row>
        <row r="7">
          <cell r="C7" t="str">
            <v xml:space="preserve">BLOK NO </v>
          </cell>
          <cell r="X7" t="str">
            <v xml:space="preserve">BLOK NO </v>
          </cell>
        </row>
        <row r="8">
          <cell r="B8" t="str">
            <v>KATLAR</v>
          </cell>
          <cell r="C8">
            <v>1</v>
          </cell>
          <cell r="D8">
            <v>2</v>
          </cell>
          <cell r="E8">
            <v>3</v>
          </cell>
          <cell r="F8">
            <v>4</v>
          </cell>
          <cell r="G8">
            <v>5</v>
          </cell>
          <cell r="H8">
            <v>6</v>
          </cell>
          <cell r="I8">
            <v>7</v>
          </cell>
          <cell r="J8">
            <v>8</v>
          </cell>
          <cell r="K8">
            <v>9</v>
          </cell>
          <cell r="L8">
            <v>10</v>
          </cell>
          <cell r="M8">
            <v>11</v>
          </cell>
          <cell r="N8">
            <v>12</v>
          </cell>
          <cell r="O8">
            <v>13</v>
          </cell>
          <cell r="P8">
            <v>14</v>
          </cell>
          <cell r="Q8">
            <v>15</v>
          </cell>
          <cell r="R8">
            <v>16</v>
          </cell>
          <cell r="S8">
            <v>17</v>
          </cell>
          <cell r="W8" t="str">
            <v>KATLAR</v>
          </cell>
          <cell r="X8">
            <v>1</v>
          </cell>
          <cell r="Y8">
            <v>2</v>
          </cell>
          <cell r="Z8">
            <v>3</v>
          </cell>
          <cell r="AA8">
            <v>4</v>
          </cell>
          <cell r="AB8">
            <v>5</v>
          </cell>
          <cell r="AC8">
            <v>6</v>
          </cell>
          <cell r="AD8">
            <v>7</v>
          </cell>
          <cell r="AE8">
            <v>8</v>
          </cell>
          <cell r="AF8">
            <v>9</v>
          </cell>
          <cell r="AG8">
            <v>10</v>
          </cell>
          <cell r="AH8">
            <v>11</v>
          </cell>
          <cell r="AI8">
            <v>12</v>
          </cell>
          <cell r="AJ8">
            <v>13</v>
          </cell>
          <cell r="AK8">
            <v>14</v>
          </cell>
          <cell r="AL8">
            <v>15</v>
          </cell>
          <cell r="AM8">
            <v>16</v>
          </cell>
        </row>
        <row r="10">
          <cell r="B10" t="str">
            <v xml:space="preserve"> 2.B.K.</v>
          </cell>
          <cell r="W10" t="str">
            <v xml:space="preserve"> 2.B.K.</v>
          </cell>
        </row>
        <row r="11">
          <cell r="B11" t="str">
            <v xml:space="preserve"> 1.B.K.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K11">
            <v>0</v>
          </cell>
          <cell r="L11">
            <v>0</v>
          </cell>
          <cell r="O11">
            <v>0</v>
          </cell>
          <cell r="W11" t="str">
            <v xml:space="preserve"> 1.B.K.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>
            <v>1</v>
          </cell>
          <cell r="AD11">
            <v>1</v>
          </cell>
          <cell r="AE11">
            <v>1</v>
          </cell>
          <cell r="AF11">
            <v>1</v>
          </cell>
          <cell r="AG11">
            <v>1</v>
          </cell>
          <cell r="AH11">
            <v>1</v>
          </cell>
          <cell r="AI11">
            <v>1</v>
          </cell>
          <cell r="AJ11">
            <v>1</v>
          </cell>
          <cell r="AK11">
            <v>1</v>
          </cell>
          <cell r="AL11">
            <v>1</v>
          </cell>
          <cell r="AM11">
            <v>1</v>
          </cell>
        </row>
        <row r="12">
          <cell r="B12" t="str">
            <v xml:space="preserve"> Z.K.</v>
          </cell>
          <cell r="C12">
            <v>4</v>
          </cell>
          <cell r="D12">
            <v>4</v>
          </cell>
          <cell r="E12">
            <v>4</v>
          </cell>
          <cell r="F12">
            <v>4</v>
          </cell>
          <cell r="G12">
            <v>4</v>
          </cell>
          <cell r="H12">
            <v>4</v>
          </cell>
          <cell r="I12">
            <v>4</v>
          </cell>
          <cell r="J12">
            <v>4</v>
          </cell>
          <cell r="K12">
            <v>4</v>
          </cell>
          <cell r="L12">
            <v>4</v>
          </cell>
          <cell r="M12">
            <v>4</v>
          </cell>
          <cell r="N12">
            <v>4</v>
          </cell>
          <cell r="O12">
            <v>4</v>
          </cell>
          <cell r="P12">
            <v>4</v>
          </cell>
          <cell r="Q12">
            <v>4</v>
          </cell>
          <cell r="R12">
            <v>4</v>
          </cell>
          <cell r="S12">
            <v>4</v>
          </cell>
          <cell r="W12" t="str">
            <v xml:space="preserve"> Z.K.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>
            <v>1</v>
          </cell>
          <cell r="AD12">
            <v>1</v>
          </cell>
          <cell r="AE12">
            <v>1</v>
          </cell>
          <cell r="AF12">
            <v>1</v>
          </cell>
          <cell r="AG12">
            <v>1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1</v>
          </cell>
        </row>
        <row r="13">
          <cell r="B13" t="str">
            <v xml:space="preserve"> 1.N.K</v>
          </cell>
          <cell r="C13">
            <v>4</v>
          </cell>
          <cell r="D13">
            <v>4</v>
          </cell>
          <cell r="E13">
            <v>4</v>
          </cell>
          <cell r="F13">
            <v>4</v>
          </cell>
          <cell r="G13">
            <v>4</v>
          </cell>
          <cell r="H13">
            <v>4</v>
          </cell>
          <cell r="I13">
            <v>4</v>
          </cell>
          <cell r="J13">
            <v>4</v>
          </cell>
          <cell r="K13">
            <v>4</v>
          </cell>
          <cell r="L13">
            <v>4</v>
          </cell>
          <cell r="M13">
            <v>4</v>
          </cell>
          <cell r="N13">
            <v>4</v>
          </cell>
          <cell r="O13">
            <v>4</v>
          </cell>
          <cell r="P13">
            <v>4</v>
          </cell>
          <cell r="Q13">
            <v>4</v>
          </cell>
          <cell r="R13">
            <v>4</v>
          </cell>
          <cell r="S13">
            <v>4</v>
          </cell>
          <cell r="W13" t="str">
            <v xml:space="preserve"> 1.N.K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>
            <v>1</v>
          </cell>
          <cell r="AD13">
            <v>1</v>
          </cell>
          <cell r="AE13">
            <v>1</v>
          </cell>
          <cell r="AF13">
            <v>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1</v>
          </cell>
        </row>
        <row r="14">
          <cell r="B14" t="str">
            <v xml:space="preserve"> 2.N.K</v>
          </cell>
          <cell r="C14">
            <v>4</v>
          </cell>
          <cell r="D14">
            <v>4</v>
          </cell>
          <cell r="E14">
            <v>4</v>
          </cell>
          <cell r="F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4</v>
          </cell>
          <cell r="L14">
            <v>4</v>
          </cell>
          <cell r="M14">
            <v>4</v>
          </cell>
          <cell r="N14">
            <v>4</v>
          </cell>
          <cell r="O14">
            <v>4</v>
          </cell>
          <cell r="P14">
            <v>4</v>
          </cell>
          <cell r="Q14">
            <v>4</v>
          </cell>
          <cell r="R14">
            <v>4</v>
          </cell>
          <cell r="S14">
            <v>4</v>
          </cell>
          <cell r="W14" t="str">
            <v xml:space="preserve"> 2.N.K</v>
          </cell>
          <cell r="X14">
            <v>1</v>
          </cell>
          <cell r="Y14">
            <v>1</v>
          </cell>
          <cell r="Z14">
            <v>1</v>
          </cell>
          <cell r="AA14">
            <v>1</v>
          </cell>
          <cell r="AB14">
            <v>1</v>
          </cell>
          <cell r="AC14">
            <v>1</v>
          </cell>
          <cell r="AD14">
            <v>1</v>
          </cell>
          <cell r="AE14">
            <v>1</v>
          </cell>
          <cell r="AF14">
            <v>1</v>
          </cell>
          <cell r="AG14">
            <v>1</v>
          </cell>
          <cell r="AH14">
            <v>1</v>
          </cell>
          <cell r="AI14">
            <v>1</v>
          </cell>
          <cell r="AJ14">
            <v>1</v>
          </cell>
          <cell r="AK14">
            <v>1</v>
          </cell>
          <cell r="AL14">
            <v>1</v>
          </cell>
          <cell r="AM14">
            <v>1</v>
          </cell>
        </row>
        <row r="15">
          <cell r="B15" t="str">
            <v xml:space="preserve"> 3.N.K</v>
          </cell>
          <cell r="C15">
            <v>4</v>
          </cell>
          <cell r="D15">
            <v>4</v>
          </cell>
          <cell r="E15">
            <v>4</v>
          </cell>
          <cell r="F15">
            <v>4</v>
          </cell>
          <cell r="G15">
            <v>4</v>
          </cell>
          <cell r="H15">
            <v>4</v>
          </cell>
          <cell r="I15">
            <v>4</v>
          </cell>
          <cell r="J15">
            <v>4</v>
          </cell>
          <cell r="K15">
            <v>4</v>
          </cell>
          <cell r="L15">
            <v>4</v>
          </cell>
          <cell r="M15">
            <v>4</v>
          </cell>
          <cell r="N15">
            <v>4</v>
          </cell>
          <cell r="O15">
            <v>4</v>
          </cell>
          <cell r="P15">
            <v>4</v>
          </cell>
          <cell r="Q15">
            <v>4</v>
          </cell>
          <cell r="R15">
            <v>4</v>
          </cell>
          <cell r="S15">
            <v>4</v>
          </cell>
          <cell r="W15" t="str">
            <v xml:space="preserve"> 3.N.K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</row>
        <row r="16">
          <cell r="B16" t="str">
            <v xml:space="preserve"> 4.N.K</v>
          </cell>
          <cell r="C16">
            <v>4</v>
          </cell>
          <cell r="D16">
            <v>4</v>
          </cell>
          <cell r="E16">
            <v>4</v>
          </cell>
          <cell r="F16">
            <v>4</v>
          </cell>
          <cell r="G16">
            <v>4</v>
          </cell>
          <cell r="H16">
            <v>4</v>
          </cell>
          <cell r="I16">
            <v>4</v>
          </cell>
          <cell r="J16">
            <v>4</v>
          </cell>
          <cell r="K16">
            <v>4</v>
          </cell>
          <cell r="L16">
            <v>4</v>
          </cell>
          <cell r="M16">
            <v>4</v>
          </cell>
          <cell r="N16">
            <v>4</v>
          </cell>
          <cell r="O16">
            <v>4</v>
          </cell>
          <cell r="P16">
            <v>4</v>
          </cell>
          <cell r="Q16">
            <v>4</v>
          </cell>
          <cell r="R16">
            <v>4</v>
          </cell>
          <cell r="W16" t="str">
            <v xml:space="preserve"> 4.N.K</v>
          </cell>
          <cell r="X16">
            <v>1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>
            <v>1</v>
          </cell>
          <cell r="AD16">
            <v>1</v>
          </cell>
          <cell r="AE16">
            <v>1</v>
          </cell>
          <cell r="AF16">
            <v>1</v>
          </cell>
          <cell r="AG16">
            <v>1</v>
          </cell>
          <cell r="AH16">
            <v>1</v>
          </cell>
          <cell r="AI16">
            <v>1</v>
          </cell>
          <cell r="AJ16">
            <v>1</v>
          </cell>
          <cell r="AK16">
            <v>1</v>
          </cell>
          <cell r="AL16">
            <v>1</v>
          </cell>
          <cell r="AM16">
            <v>1</v>
          </cell>
        </row>
        <row r="17">
          <cell r="B17" t="str">
            <v xml:space="preserve"> 5.N.K</v>
          </cell>
          <cell r="C17">
            <v>4</v>
          </cell>
          <cell r="D17">
            <v>4</v>
          </cell>
          <cell r="E17">
            <v>4</v>
          </cell>
          <cell r="F17">
            <v>4</v>
          </cell>
          <cell r="G17">
            <v>4</v>
          </cell>
          <cell r="H17">
            <v>4</v>
          </cell>
          <cell r="I17">
            <v>4</v>
          </cell>
          <cell r="J17">
            <v>4</v>
          </cell>
          <cell r="K17">
            <v>4</v>
          </cell>
          <cell r="L17">
            <v>4</v>
          </cell>
          <cell r="M17">
            <v>4</v>
          </cell>
          <cell r="N17">
            <v>4</v>
          </cell>
          <cell r="O17">
            <v>4</v>
          </cell>
          <cell r="P17">
            <v>4</v>
          </cell>
          <cell r="Q17">
            <v>4</v>
          </cell>
          <cell r="R17">
            <v>4</v>
          </cell>
          <cell r="W17" t="str">
            <v xml:space="preserve"> 5.N.K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>
            <v>1</v>
          </cell>
          <cell r="AD17">
            <v>1</v>
          </cell>
          <cell r="AE17">
            <v>1</v>
          </cell>
          <cell r="AF17">
            <v>1</v>
          </cell>
          <cell r="AG17">
            <v>1</v>
          </cell>
          <cell r="AH17">
            <v>1</v>
          </cell>
          <cell r="AI17">
            <v>1</v>
          </cell>
          <cell r="AJ17">
            <v>1</v>
          </cell>
          <cell r="AK17">
            <v>1</v>
          </cell>
          <cell r="AL17">
            <v>1</v>
          </cell>
          <cell r="AM17">
            <v>1</v>
          </cell>
        </row>
        <row r="18">
          <cell r="B18" t="str">
            <v xml:space="preserve"> 6.N.K</v>
          </cell>
          <cell r="F18">
            <v>4</v>
          </cell>
          <cell r="G18">
            <v>4</v>
          </cell>
          <cell r="H18">
            <v>4</v>
          </cell>
          <cell r="I18">
            <v>4</v>
          </cell>
          <cell r="J18">
            <v>4</v>
          </cell>
          <cell r="K18">
            <v>4</v>
          </cell>
          <cell r="L18">
            <v>4</v>
          </cell>
          <cell r="M18">
            <v>4</v>
          </cell>
          <cell r="N18">
            <v>4</v>
          </cell>
          <cell r="O18">
            <v>4</v>
          </cell>
          <cell r="P18">
            <v>4</v>
          </cell>
          <cell r="Q18">
            <v>4</v>
          </cell>
          <cell r="R18">
            <v>4</v>
          </cell>
          <cell r="W18" t="str">
            <v xml:space="preserve"> 6.N.K</v>
          </cell>
          <cell r="AA18">
            <v>1</v>
          </cell>
          <cell r="AB18">
            <v>1</v>
          </cell>
          <cell r="AC18">
            <v>1</v>
          </cell>
          <cell r="AD18">
            <v>1</v>
          </cell>
          <cell r="AE18">
            <v>1</v>
          </cell>
          <cell r="AF18">
            <v>1</v>
          </cell>
          <cell r="AG18">
            <v>1</v>
          </cell>
          <cell r="AH18">
            <v>1</v>
          </cell>
          <cell r="AI18">
            <v>1</v>
          </cell>
          <cell r="AJ18">
            <v>1</v>
          </cell>
          <cell r="AK18">
            <v>1</v>
          </cell>
          <cell r="AL18">
            <v>1</v>
          </cell>
          <cell r="AM18">
            <v>1</v>
          </cell>
        </row>
        <row r="19">
          <cell r="B19" t="str">
            <v xml:space="preserve"> 7.N.K</v>
          </cell>
          <cell r="F19">
            <v>4</v>
          </cell>
          <cell r="G19">
            <v>4</v>
          </cell>
          <cell r="H19">
            <v>4</v>
          </cell>
          <cell r="I19">
            <v>4</v>
          </cell>
          <cell r="J19">
            <v>4</v>
          </cell>
          <cell r="K19">
            <v>4</v>
          </cell>
          <cell r="L19">
            <v>4</v>
          </cell>
          <cell r="M19">
            <v>4</v>
          </cell>
          <cell r="N19">
            <v>4</v>
          </cell>
          <cell r="O19">
            <v>4</v>
          </cell>
          <cell r="P19">
            <v>4</v>
          </cell>
          <cell r="Q19">
            <v>4</v>
          </cell>
          <cell r="R19">
            <v>4</v>
          </cell>
          <cell r="W19" t="str">
            <v xml:space="preserve"> 7.N.K</v>
          </cell>
          <cell r="AA19">
            <v>1</v>
          </cell>
          <cell r="AB19">
            <v>1</v>
          </cell>
          <cell r="AC19">
            <v>1</v>
          </cell>
          <cell r="AD19">
            <v>1</v>
          </cell>
          <cell r="AE19">
            <v>1</v>
          </cell>
          <cell r="AF19">
            <v>1</v>
          </cell>
          <cell r="AG19">
            <v>1</v>
          </cell>
          <cell r="AH19">
            <v>1</v>
          </cell>
          <cell r="AI19">
            <v>1</v>
          </cell>
          <cell r="AJ19">
            <v>1</v>
          </cell>
          <cell r="AK19">
            <v>1</v>
          </cell>
          <cell r="AL19">
            <v>1</v>
          </cell>
          <cell r="AM19">
            <v>1</v>
          </cell>
        </row>
        <row r="20">
          <cell r="B20" t="str">
            <v xml:space="preserve"> 8.N.K</v>
          </cell>
          <cell r="G20">
            <v>4</v>
          </cell>
          <cell r="H20">
            <v>4</v>
          </cell>
          <cell r="L20">
            <v>0</v>
          </cell>
          <cell r="M20">
            <v>4</v>
          </cell>
          <cell r="N20">
            <v>4</v>
          </cell>
          <cell r="O20">
            <v>4</v>
          </cell>
          <cell r="P20">
            <v>4</v>
          </cell>
          <cell r="Q20">
            <v>4</v>
          </cell>
          <cell r="R20">
            <v>4</v>
          </cell>
          <cell r="W20" t="str">
            <v xml:space="preserve"> 8.N.K</v>
          </cell>
          <cell r="AB20">
            <v>1</v>
          </cell>
          <cell r="AC20">
            <v>1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</v>
          </cell>
          <cell r="AL20">
            <v>1</v>
          </cell>
          <cell r="AM20">
            <v>1</v>
          </cell>
        </row>
        <row r="21">
          <cell r="B21" t="str">
            <v xml:space="preserve"> 9.N.K</v>
          </cell>
          <cell r="L21">
            <v>0</v>
          </cell>
          <cell r="M21">
            <v>4</v>
          </cell>
          <cell r="N21">
            <v>4</v>
          </cell>
          <cell r="O21">
            <v>4</v>
          </cell>
          <cell r="P21">
            <v>4</v>
          </cell>
          <cell r="Q21">
            <v>4</v>
          </cell>
          <cell r="R21">
            <v>4</v>
          </cell>
          <cell r="W21" t="str">
            <v xml:space="preserve"> 9.N.K</v>
          </cell>
          <cell r="AG21">
            <v>0</v>
          </cell>
          <cell r="AH21">
            <v>1</v>
          </cell>
          <cell r="AI21">
            <v>1</v>
          </cell>
          <cell r="AJ21">
            <v>1</v>
          </cell>
          <cell r="AK21">
            <v>1</v>
          </cell>
          <cell r="AL21">
            <v>1</v>
          </cell>
          <cell r="AM21">
            <v>1</v>
          </cell>
        </row>
        <row r="22">
          <cell r="B22" t="str">
            <v>TOPLAM</v>
          </cell>
          <cell r="C22">
            <v>24</v>
          </cell>
          <cell r="D22">
            <v>24</v>
          </cell>
          <cell r="E22">
            <v>24</v>
          </cell>
          <cell r="F22">
            <v>32</v>
          </cell>
          <cell r="G22">
            <v>36</v>
          </cell>
          <cell r="H22">
            <v>36</v>
          </cell>
          <cell r="I22">
            <v>32</v>
          </cell>
          <cell r="J22">
            <v>32</v>
          </cell>
          <cell r="K22">
            <v>32</v>
          </cell>
          <cell r="L22">
            <v>32</v>
          </cell>
          <cell r="M22">
            <v>40</v>
          </cell>
          <cell r="N22">
            <v>40</v>
          </cell>
          <cell r="O22">
            <v>40</v>
          </cell>
          <cell r="P22">
            <v>40</v>
          </cell>
          <cell r="Q22">
            <v>40</v>
          </cell>
          <cell r="R22">
            <v>40</v>
          </cell>
          <cell r="S22">
            <v>16</v>
          </cell>
        </row>
        <row r="23">
          <cell r="L23" t="str">
            <v>A-) İMAL EDİLMİŞ TOPLAM DAİRE</v>
          </cell>
          <cell r="Q23">
            <v>560</v>
          </cell>
        </row>
        <row r="24">
          <cell r="L24" t="str">
            <v>B-) BİR DAİRE MİKTARI</v>
          </cell>
          <cell r="Q24">
            <v>36.419642857142854</v>
          </cell>
          <cell r="W24" t="str">
            <v>TOPLAM</v>
          </cell>
          <cell r="X24">
            <v>7</v>
          </cell>
          <cell r="Y24">
            <v>7</v>
          </cell>
          <cell r="Z24">
            <v>7</v>
          </cell>
          <cell r="AA24">
            <v>9</v>
          </cell>
          <cell r="AB24">
            <v>10</v>
          </cell>
          <cell r="AC24">
            <v>10</v>
          </cell>
          <cell r="AD24">
            <v>9</v>
          </cell>
          <cell r="AE24">
            <v>9</v>
          </cell>
          <cell r="AF24">
            <v>9</v>
          </cell>
          <cell r="AG24">
            <v>9</v>
          </cell>
          <cell r="AH24">
            <v>11</v>
          </cell>
          <cell r="AI24">
            <v>11</v>
          </cell>
          <cell r="AJ24">
            <v>11</v>
          </cell>
          <cell r="AK24">
            <v>11</v>
          </cell>
          <cell r="AL24">
            <v>11</v>
          </cell>
          <cell r="AM24">
            <v>11</v>
          </cell>
        </row>
        <row r="25">
          <cell r="L25" t="str">
            <v>C-) TOPLAM ERİTİLECEK MİKTAR</v>
          </cell>
          <cell r="Q25">
            <v>20395</v>
          </cell>
          <cell r="AG25" t="str">
            <v xml:space="preserve">A-) İMAL EDİLMİŞ TOPLAM KAT </v>
          </cell>
          <cell r="AL25">
            <v>152</v>
          </cell>
        </row>
        <row r="26">
          <cell r="AG26" t="str">
            <v>B-) TOPLAM KAT MİKTARI</v>
          </cell>
          <cell r="AL26">
            <v>152</v>
          </cell>
        </row>
        <row r="27">
          <cell r="AG27" t="str">
            <v>C-) İMALAT YÜZDESİ ( A / B )</v>
          </cell>
          <cell r="AL27">
            <v>1</v>
          </cell>
        </row>
        <row r="28">
          <cell r="D28" t="str">
            <v>MÜTEAHHİT</v>
          </cell>
          <cell r="P28" t="str">
            <v>KONT. MÜH.</v>
          </cell>
          <cell r="AG28" t="str">
            <v>D-) TOPLAM KALIP MİKTARI</v>
          </cell>
          <cell r="AL28">
            <v>3017.21</v>
          </cell>
        </row>
        <row r="29">
          <cell r="AG29" t="str">
            <v>E-) ERİTİLECEK MİKTAR ( C x D )</v>
          </cell>
          <cell r="AL29">
            <v>3017.2</v>
          </cell>
        </row>
        <row r="30">
          <cell r="D30" t="str">
            <v>BİAT İNŞAAT SANAYİİ</v>
          </cell>
          <cell r="P30" t="str">
            <v>CELİL YAĞMUROĞLU</v>
          </cell>
        </row>
        <row r="31">
          <cell r="D31" t="str">
            <v>VE TİCARET A. Ş.</v>
          </cell>
          <cell r="P31" t="str">
            <v>YÜK.MİMAR</v>
          </cell>
        </row>
        <row r="33">
          <cell r="Y33" t="str">
            <v>MÜTEAHHİT</v>
          </cell>
          <cell r="AK33" t="str">
            <v>KONT. MÜH.</v>
          </cell>
        </row>
        <row r="39">
          <cell r="Y39" t="str">
            <v>BİAT İNŞAAT SANAYİİ</v>
          </cell>
          <cell r="AK39" t="str">
            <v>CELİL YAĞMUROĞLU</v>
          </cell>
        </row>
        <row r="40">
          <cell r="B40" t="str">
            <v>MÜTEAHHİT</v>
          </cell>
          <cell r="D40" t="str">
            <v>: BİAT  İNŞAAT</v>
          </cell>
          <cell r="O40" t="str">
            <v>HAK. NO   : 11</v>
          </cell>
          <cell r="Y40" t="str">
            <v>VE TİCARET A. Ş.</v>
          </cell>
          <cell r="AK40" t="str">
            <v>YÜK.MİMAR</v>
          </cell>
        </row>
        <row r="41">
          <cell r="B41" t="str">
            <v>BÖLGE  NO</v>
          </cell>
          <cell r="D41" t="str">
            <v>: İKİTELLİ 1. BÖLGE</v>
          </cell>
          <cell r="O41" t="str">
            <v>HAK.TARİH :05/07/1996</v>
          </cell>
        </row>
        <row r="42">
          <cell r="O42" t="str">
            <v>SAYFA NO  :</v>
          </cell>
          <cell r="Q42">
            <v>2</v>
          </cell>
        </row>
        <row r="44">
          <cell r="B44" t="str">
            <v>13,5 'LUK HAFİF GAZ BETON  ERİTME  HESAP  TABLOSU</v>
          </cell>
        </row>
        <row r="45">
          <cell r="C45" t="str">
            <v xml:space="preserve">BLOK NO </v>
          </cell>
        </row>
        <row r="46">
          <cell r="B46" t="str">
            <v>KATLAR</v>
          </cell>
          <cell r="C46">
            <v>1</v>
          </cell>
          <cell r="D46">
            <v>2</v>
          </cell>
          <cell r="E46">
            <v>3</v>
          </cell>
          <cell r="F46">
            <v>4</v>
          </cell>
          <cell r="G46">
            <v>5</v>
          </cell>
          <cell r="H46">
            <v>6</v>
          </cell>
          <cell r="I46">
            <v>7</v>
          </cell>
          <cell r="J46">
            <v>8</v>
          </cell>
          <cell r="K46">
            <v>9</v>
          </cell>
          <cell r="L46">
            <v>10</v>
          </cell>
          <cell r="M46">
            <v>11</v>
          </cell>
          <cell r="N46">
            <v>12</v>
          </cell>
          <cell r="O46">
            <v>13</v>
          </cell>
          <cell r="P46">
            <v>14</v>
          </cell>
          <cell r="Q46">
            <v>15</v>
          </cell>
          <cell r="R46">
            <v>16</v>
          </cell>
          <cell r="S46">
            <v>17</v>
          </cell>
        </row>
        <row r="48">
          <cell r="B48" t="str">
            <v xml:space="preserve"> 2.B.K.</v>
          </cell>
        </row>
        <row r="49">
          <cell r="B49" t="str">
            <v xml:space="preserve"> 1.B.K.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K49">
            <v>0</v>
          </cell>
          <cell r="L49">
            <v>0</v>
          </cell>
          <cell r="O49">
            <v>0</v>
          </cell>
        </row>
        <row r="50">
          <cell r="B50" t="str">
            <v xml:space="preserve"> Z.K.</v>
          </cell>
          <cell r="C50">
            <v>4</v>
          </cell>
          <cell r="D50">
            <v>4</v>
          </cell>
          <cell r="E50">
            <v>4</v>
          </cell>
          <cell r="F50">
            <v>4</v>
          </cell>
          <cell r="G50">
            <v>4</v>
          </cell>
          <cell r="H50">
            <v>4</v>
          </cell>
          <cell r="I50">
            <v>4</v>
          </cell>
          <cell r="J50">
            <v>4</v>
          </cell>
          <cell r="K50">
            <v>4</v>
          </cell>
          <cell r="L50">
            <v>4</v>
          </cell>
          <cell r="M50">
            <v>4</v>
          </cell>
          <cell r="N50">
            <v>4</v>
          </cell>
          <cell r="O50">
            <v>4</v>
          </cell>
          <cell r="P50">
            <v>4</v>
          </cell>
          <cell r="Q50">
            <v>4</v>
          </cell>
          <cell r="R50">
            <v>4</v>
          </cell>
          <cell r="S50">
            <v>4</v>
          </cell>
        </row>
        <row r="51">
          <cell r="B51" t="str">
            <v xml:space="preserve"> 1.N.K</v>
          </cell>
          <cell r="C51">
            <v>4</v>
          </cell>
          <cell r="D51">
            <v>4</v>
          </cell>
          <cell r="E51">
            <v>4</v>
          </cell>
          <cell r="F51">
            <v>4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4</v>
          </cell>
          <cell r="L51">
            <v>4</v>
          </cell>
          <cell r="M51">
            <v>4</v>
          </cell>
          <cell r="N51">
            <v>4</v>
          </cell>
          <cell r="O51">
            <v>4</v>
          </cell>
          <cell r="P51">
            <v>4</v>
          </cell>
          <cell r="Q51">
            <v>4</v>
          </cell>
          <cell r="R51">
            <v>4</v>
          </cell>
          <cell r="S51">
            <v>4</v>
          </cell>
        </row>
        <row r="52">
          <cell r="B52" t="str">
            <v xml:space="preserve"> 2.N.K</v>
          </cell>
          <cell r="C52">
            <v>4</v>
          </cell>
          <cell r="D52">
            <v>4</v>
          </cell>
          <cell r="E52">
            <v>4</v>
          </cell>
          <cell r="F52">
            <v>4</v>
          </cell>
          <cell r="G52">
            <v>4</v>
          </cell>
          <cell r="H52">
            <v>4</v>
          </cell>
          <cell r="I52">
            <v>4</v>
          </cell>
          <cell r="J52">
            <v>4</v>
          </cell>
          <cell r="K52">
            <v>4</v>
          </cell>
          <cell r="L52">
            <v>4</v>
          </cell>
          <cell r="M52">
            <v>4</v>
          </cell>
          <cell r="N52">
            <v>4</v>
          </cell>
          <cell r="O52">
            <v>4</v>
          </cell>
          <cell r="P52">
            <v>4</v>
          </cell>
          <cell r="Q52">
            <v>4</v>
          </cell>
          <cell r="R52">
            <v>4</v>
          </cell>
          <cell r="S52">
            <v>4</v>
          </cell>
        </row>
        <row r="53">
          <cell r="B53" t="str">
            <v xml:space="preserve"> 3.N.K</v>
          </cell>
          <cell r="C53">
            <v>4</v>
          </cell>
          <cell r="D53">
            <v>4</v>
          </cell>
          <cell r="E53">
            <v>4</v>
          </cell>
          <cell r="F53">
            <v>4</v>
          </cell>
          <cell r="G53">
            <v>4</v>
          </cell>
          <cell r="H53">
            <v>4</v>
          </cell>
          <cell r="I53">
            <v>4</v>
          </cell>
          <cell r="J53">
            <v>4</v>
          </cell>
          <cell r="K53">
            <v>4</v>
          </cell>
          <cell r="L53">
            <v>4</v>
          </cell>
          <cell r="M53">
            <v>4</v>
          </cell>
          <cell r="N53">
            <v>4</v>
          </cell>
          <cell r="O53">
            <v>4</v>
          </cell>
          <cell r="P53">
            <v>4</v>
          </cell>
          <cell r="Q53">
            <v>4</v>
          </cell>
          <cell r="R53">
            <v>4</v>
          </cell>
          <cell r="S53">
            <v>4</v>
          </cell>
        </row>
        <row r="54">
          <cell r="B54" t="str">
            <v xml:space="preserve"> 4.N.K</v>
          </cell>
          <cell r="C54">
            <v>4</v>
          </cell>
          <cell r="D54">
            <v>4</v>
          </cell>
          <cell r="E54">
            <v>4</v>
          </cell>
          <cell r="F54">
            <v>4</v>
          </cell>
          <cell r="G54">
            <v>4</v>
          </cell>
          <cell r="H54">
            <v>4</v>
          </cell>
          <cell r="I54">
            <v>4</v>
          </cell>
          <cell r="J54">
            <v>4</v>
          </cell>
          <cell r="K54">
            <v>4</v>
          </cell>
          <cell r="L54">
            <v>4</v>
          </cell>
          <cell r="M54">
            <v>4</v>
          </cell>
          <cell r="N54">
            <v>4</v>
          </cell>
          <cell r="O54">
            <v>4</v>
          </cell>
          <cell r="P54">
            <v>4</v>
          </cell>
          <cell r="Q54">
            <v>4</v>
          </cell>
          <cell r="R54">
            <v>4</v>
          </cell>
        </row>
        <row r="55">
          <cell r="B55" t="str">
            <v xml:space="preserve"> 5.N.K</v>
          </cell>
          <cell r="C55">
            <v>4</v>
          </cell>
          <cell r="D55">
            <v>4</v>
          </cell>
          <cell r="E55">
            <v>4</v>
          </cell>
          <cell r="F55">
            <v>4</v>
          </cell>
          <cell r="G55">
            <v>4</v>
          </cell>
          <cell r="H55">
            <v>4</v>
          </cell>
          <cell r="I55">
            <v>4</v>
          </cell>
          <cell r="J55">
            <v>4</v>
          </cell>
          <cell r="K55">
            <v>4</v>
          </cell>
          <cell r="L55">
            <v>4</v>
          </cell>
          <cell r="M55">
            <v>4</v>
          </cell>
          <cell r="N55">
            <v>4</v>
          </cell>
          <cell r="O55">
            <v>4</v>
          </cell>
          <cell r="P55">
            <v>4</v>
          </cell>
          <cell r="Q55">
            <v>4</v>
          </cell>
          <cell r="R55">
            <v>4</v>
          </cell>
        </row>
        <row r="56">
          <cell r="B56" t="str">
            <v xml:space="preserve"> 6.N.K</v>
          </cell>
          <cell r="E56">
            <v>0</v>
          </cell>
          <cell r="F56">
            <v>4</v>
          </cell>
          <cell r="G56">
            <v>4</v>
          </cell>
          <cell r="H56">
            <v>4</v>
          </cell>
          <cell r="I56">
            <v>4</v>
          </cell>
          <cell r="J56">
            <v>4</v>
          </cell>
          <cell r="K56">
            <v>4</v>
          </cell>
          <cell r="L56">
            <v>4</v>
          </cell>
          <cell r="M56">
            <v>4</v>
          </cell>
          <cell r="N56">
            <v>4</v>
          </cell>
          <cell r="O56">
            <v>4</v>
          </cell>
          <cell r="P56">
            <v>4</v>
          </cell>
          <cell r="Q56">
            <v>4</v>
          </cell>
          <cell r="R56">
            <v>4</v>
          </cell>
        </row>
        <row r="57">
          <cell r="B57" t="str">
            <v xml:space="preserve"> 7.N.K</v>
          </cell>
          <cell r="F57">
            <v>4</v>
          </cell>
          <cell r="G57">
            <v>4</v>
          </cell>
          <cell r="H57">
            <v>4</v>
          </cell>
          <cell r="I57">
            <v>4</v>
          </cell>
          <cell r="J57">
            <v>4</v>
          </cell>
          <cell r="K57">
            <v>4</v>
          </cell>
          <cell r="L57">
            <v>4</v>
          </cell>
          <cell r="M57">
            <v>4</v>
          </cell>
          <cell r="N57">
            <v>4</v>
          </cell>
          <cell r="O57">
            <v>4</v>
          </cell>
          <cell r="P57">
            <v>4</v>
          </cell>
          <cell r="Q57">
            <v>4</v>
          </cell>
          <cell r="R57">
            <v>4</v>
          </cell>
        </row>
        <row r="58">
          <cell r="B58" t="str">
            <v xml:space="preserve"> 8.N.K</v>
          </cell>
          <cell r="G58">
            <v>4</v>
          </cell>
          <cell r="H58">
            <v>4</v>
          </cell>
          <cell r="L58">
            <v>0</v>
          </cell>
          <cell r="M58">
            <v>4</v>
          </cell>
          <cell r="N58">
            <v>4</v>
          </cell>
          <cell r="O58">
            <v>4</v>
          </cell>
          <cell r="P58">
            <v>4</v>
          </cell>
          <cell r="Q58">
            <v>4</v>
          </cell>
          <cell r="R58">
            <v>4</v>
          </cell>
        </row>
        <row r="59">
          <cell r="B59" t="str">
            <v xml:space="preserve"> 9.N.K</v>
          </cell>
          <cell r="L59">
            <v>0</v>
          </cell>
          <cell r="M59">
            <v>4</v>
          </cell>
          <cell r="N59">
            <v>4</v>
          </cell>
          <cell r="O59">
            <v>4</v>
          </cell>
          <cell r="P59">
            <v>4</v>
          </cell>
          <cell r="Q59">
            <v>4</v>
          </cell>
          <cell r="R59">
            <v>4</v>
          </cell>
        </row>
        <row r="60">
          <cell r="B60" t="str">
            <v>TOPLAM</v>
          </cell>
          <cell r="C60">
            <v>24</v>
          </cell>
          <cell r="D60">
            <v>24</v>
          </cell>
          <cell r="E60">
            <v>24</v>
          </cell>
          <cell r="F60">
            <v>32</v>
          </cell>
          <cell r="G60">
            <v>36</v>
          </cell>
          <cell r="H60">
            <v>36</v>
          </cell>
          <cell r="I60">
            <v>32</v>
          </cell>
          <cell r="J60">
            <v>32</v>
          </cell>
          <cell r="K60">
            <v>32</v>
          </cell>
          <cell r="L60">
            <v>32</v>
          </cell>
          <cell r="M60">
            <v>40</v>
          </cell>
          <cell r="N60">
            <v>40</v>
          </cell>
          <cell r="O60">
            <v>40</v>
          </cell>
          <cell r="P60">
            <v>40</v>
          </cell>
          <cell r="Q60">
            <v>40</v>
          </cell>
          <cell r="R60">
            <v>40</v>
          </cell>
          <cell r="S60">
            <v>16</v>
          </cell>
        </row>
        <row r="61">
          <cell r="L61" t="str">
            <v xml:space="preserve">A-) İMAL EDİLMİŞ TOPLAM DAİRE </v>
          </cell>
          <cell r="Q61">
            <v>560</v>
          </cell>
        </row>
        <row r="62">
          <cell r="L62" t="str">
            <v>B-) BİR DAİRE MİKTARI</v>
          </cell>
          <cell r="Q62">
            <v>48.214285714285715</v>
          </cell>
        </row>
        <row r="63">
          <cell r="L63" t="str">
            <v>C-) TOPLAM ERİTİLECEK MİKTAR</v>
          </cell>
          <cell r="Q63">
            <v>27000</v>
          </cell>
        </row>
        <row r="67">
          <cell r="D67" t="str">
            <v>MÜTEAHHİT</v>
          </cell>
          <cell r="P67" t="str">
            <v>KONT. MÜH.</v>
          </cell>
        </row>
        <row r="69">
          <cell r="D69" t="str">
            <v>BİAT İNŞAAT SANAYİİ</v>
          </cell>
          <cell r="P69" t="str">
            <v>CELİL YAĞMUROĞLU</v>
          </cell>
        </row>
        <row r="70">
          <cell r="D70" t="str">
            <v>VE TİCARET A. Ş.</v>
          </cell>
          <cell r="P70" t="str">
            <v>YÜK.MİMAR</v>
          </cell>
        </row>
        <row r="75">
          <cell r="B75" t="str">
            <v>MÜTEAHHİT</v>
          </cell>
          <cell r="D75" t="str">
            <v>: BİAT  İNŞAAT</v>
          </cell>
          <cell r="O75" t="str">
            <v>HAK. NO   : 11</v>
          </cell>
        </row>
        <row r="76">
          <cell r="B76" t="str">
            <v>BÖLGE  NO</v>
          </cell>
          <cell r="D76" t="str">
            <v>: İKİTELLİ 1. BÖLGE</v>
          </cell>
          <cell r="O76" t="str">
            <v>HAK.TARİH :05/07/1996</v>
          </cell>
        </row>
        <row r="77">
          <cell r="O77" t="str">
            <v>SAYFA NO  :</v>
          </cell>
          <cell r="Q77">
            <v>3</v>
          </cell>
        </row>
        <row r="79">
          <cell r="B79" t="str">
            <v>SERAMİK  ERİTME  HESAP  TABLOSU</v>
          </cell>
        </row>
        <row r="80">
          <cell r="C80" t="str">
            <v xml:space="preserve">BLOK NO </v>
          </cell>
        </row>
        <row r="81">
          <cell r="B81" t="str">
            <v>KATLAR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>
            <v>5</v>
          </cell>
          <cell r="H81">
            <v>6</v>
          </cell>
          <cell r="I81">
            <v>7</v>
          </cell>
          <cell r="J81">
            <v>8</v>
          </cell>
          <cell r="K81">
            <v>9</v>
          </cell>
          <cell r="L81">
            <v>10</v>
          </cell>
          <cell r="M81">
            <v>11</v>
          </cell>
          <cell r="N81">
            <v>12</v>
          </cell>
          <cell r="O81">
            <v>13</v>
          </cell>
          <cell r="P81">
            <v>14</v>
          </cell>
          <cell r="Q81">
            <v>15</v>
          </cell>
          <cell r="R81">
            <v>16</v>
          </cell>
          <cell r="S81">
            <v>17</v>
          </cell>
        </row>
        <row r="83">
          <cell r="B83" t="str">
            <v xml:space="preserve"> 2.B.K.</v>
          </cell>
        </row>
        <row r="84">
          <cell r="B84" t="str">
            <v xml:space="preserve"> 1.B.K.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K84">
            <v>0</v>
          </cell>
          <cell r="L84">
            <v>0</v>
          </cell>
          <cell r="O84">
            <v>0</v>
          </cell>
          <cell r="Q84">
            <v>0</v>
          </cell>
        </row>
        <row r="85">
          <cell r="B85" t="str">
            <v xml:space="preserve"> Z.K.</v>
          </cell>
          <cell r="C85">
            <v>4</v>
          </cell>
          <cell r="D85">
            <v>4</v>
          </cell>
          <cell r="E85">
            <v>2</v>
          </cell>
          <cell r="F85">
            <v>4</v>
          </cell>
          <cell r="G85">
            <v>3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4</v>
          </cell>
          <cell r="N85">
            <v>4</v>
          </cell>
          <cell r="O85">
            <v>4</v>
          </cell>
          <cell r="P85">
            <v>4</v>
          </cell>
          <cell r="Q85">
            <v>4</v>
          </cell>
          <cell r="R85">
            <v>4</v>
          </cell>
          <cell r="S85">
            <v>3</v>
          </cell>
        </row>
        <row r="86">
          <cell r="B86" t="str">
            <v xml:space="preserve"> 1.N.K</v>
          </cell>
          <cell r="C86">
            <v>4</v>
          </cell>
          <cell r="D86">
            <v>4</v>
          </cell>
          <cell r="E86">
            <v>2</v>
          </cell>
          <cell r="F86">
            <v>4</v>
          </cell>
          <cell r="G86">
            <v>3</v>
          </cell>
          <cell r="I86">
            <v>4</v>
          </cell>
          <cell r="J86">
            <v>4</v>
          </cell>
          <cell r="K86">
            <v>4</v>
          </cell>
          <cell r="L86">
            <v>4</v>
          </cell>
          <cell r="M86">
            <v>4</v>
          </cell>
          <cell r="N86">
            <v>4</v>
          </cell>
          <cell r="O86">
            <v>4</v>
          </cell>
          <cell r="P86">
            <v>4</v>
          </cell>
          <cell r="Q86">
            <v>4</v>
          </cell>
          <cell r="R86">
            <v>4</v>
          </cell>
        </row>
        <row r="87">
          <cell r="B87" t="str">
            <v xml:space="preserve"> 2.N.K</v>
          </cell>
          <cell r="C87">
            <v>4</v>
          </cell>
          <cell r="D87">
            <v>4</v>
          </cell>
          <cell r="E87">
            <v>4</v>
          </cell>
          <cell r="F87">
            <v>4</v>
          </cell>
          <cell r="G87">
            <v>3</v>
          </cell>
          <cell r="I87">
            <v>4</v>
          </cell>
          <cell r="J87">
            <v>4</v>
          </cell>
          <cell r="K87">
            <v>4</v>
          </cell>
          <cell r="L87">
            <v>4</v>
          </cell>
          <cell r="M87">
            <v>4</v>
          </cell>
          <cell r="N87">
            <v>4</v>
          </cell>
          <cell r="O87">
            <v>4</v>
          </cell>
          <cell r="P87">
            <v>4</v>
          </cell>
          <cell r="Q87">
            <v>4</v>
          </cell>
          <cell r="R87">
            <v>4</v>
          </cell>
        </row>
        <row r="88">
          <cell r="B88" t="str">
            <v xml:space="preserve"> 3.N.K</v>
          </cell>
          <cell r="C88">
            <v>4</v>
          </cell>
          <cell r="D88">
            <v>4</v>
          </cell>
          <cell r="E88">
            <v>4</v>
          </cell>
          <cell r="F88">
            <v>4</v>
          </cell>
          <cell r="G88">
            <v>2</v>
          </cell>
          <cell r="I88">
            <v>4</v>
          </cell>
          <cell r="J88">
            <v>4</v>
          </cell>
          <cell r="K88">
            <v>4</v>
          </cell>
          <cell r="L88">
            <v>4</v>
          </cell>
          <cell r="M88">
            <v>4</v>
          </cell>
          <cell r="N88">
            <v>4</v>
          </cell>
          <cell r="O88">
            <v>4</v>
          </cell>
          <cell r="P88">
            <v>4</v>
          </cell>
          <cell r="Q88">
            <v>4</v>
          </cell>
          <cell r="R88">
            <v>4</v>
          </cell>
        </row>
        <row r="89">
          <cell r="B89" t="str">
            <v xml:space="preserve"> 4.N.K</v>
          </cell>
          <cell r="C89">
            <v>4</v>
          </cell>
          <cell r="D89">
            <v>4</v>
          </cell>
          <cell r="E89">
            <v>4</v>
          </cell>
          <cell r="F89">
            <v>4</v>
          </cell>
          <cell r="G89">
            <v>2</v>
          </cell>
          <cell r="I89">
            <v>4</v>
          </cell>
          <cell r="J89">
            <v>4</v>
          </cell>
          <cell r="K89">
            <v>4</v>
          </cell>
          <cell r="L89">
            <v>4</v>
          </cell>
          <cell r="M89">
            <v>4</v>
          </cell>
          <cell r="N89">
            <v>4</v>
          </cell>
          <cell r="O89">
            <v>4</v>
          </cell>
          <cell r="P89">
            <v>4</v>
          </cell>
          <cell r="Q89">
            <v>4</v>
          </cell>
          <cell r="R89">
            <v>4</v>
          </cell>
        </row>
        <row r="90">
          <cell r="B90" t="str">
            <v xml:space="preserve"> 5.N.K</v>
          </cell>
          <cell r="C90">
            <v>4</v>
          </cell>
          <cell r="D90">
            <v>4</v>
          </cell>
          <cell r="E90">
            <v>4</v>
          </cell>
          <cell r="F90">
            <v>4</v>
          </cell>
          <cell r="G90">
            <v>2</v>
          </cell>
          <cell r="I90">
            <v>4</v>
          </cell>
          <cell r="J90">
            <v>4</v>
          </cell>
          <cell r="K90">
            <v>4</v>
          </cell>
          <cell r="L90">
            <v>4</v>
          </cell>
          <cell r="M90">
            <v>4</v>
          </cell>
          <cell r="N90">
            <v>4</v>
          </cell>
          <cell r="O90">
            <v>4</v>
          </cell>
          <cell r="P90">
            <v>4</v>
          </cell>
          <cell r="Q90">
            <v>4</v>
          </cell>
          <cell r="R90">
            <v>4</v>
          </cell>
        </row>
        <row r="91">
          <cell r="B91" t="str">
            <v xml:space="preserve"> 6.N.K</v>
          </cell>
          <cell r="F91">
            <v>4</v>
          </cell>
          <cell r="I91">
            <v>4</v>
          </cell>
          <cell r="J91">
            <v>4</v>
          </cell>
          <cell r="K91">
            <v>4</v>
          </cell>
          <cell r="L91">
            <v>4</v>
          </cell>
          <cell r="M91">
            <v>4</v>
          </cell>
          <cell r="N91">
            <v>4</v>
          </cell>
          <cell r="O91">
            <v>4</v>
          </cell>
          <cell r="P91">
            <v>4</v>
          </cell>
          <cell r="Q91">
            <v>4</v>
          </cell>
          <cell r="R91">
            <v>4</v>
          </cell>
        </row>
        <row r="92">
          <cell r="B92" t="str">
            <v xml:space="preserve"> 7.N.K</v>
          </cell>
          <cell r="F92">
            <v>4</v>
          </cell>
          <cell r="I92">
            <v>4</v>
          </cell>
          <cell r="J92">
            <v>4</v>
          </cell>
          <cell r="K92">
            <v>4</v>
          </cell>
          <cell r="L92">
            <v>4</v>
          </cell>
          <cell r="M92">
            <v>4</v>
          </cell>
          <cell r="N92">
            <v>4</v>
          </cell>
          <cell r="O92">
            <v>4</v>
          </cell>
          <cell r="P92">
            <v>4</v>
          </cell>
          <cell r="Q92">
            <v>4</v>
          </cell>
          <cell r="R92">
            <v>4</v>
          </cell>
        </row>
        <row r="93">
          <cell r="B93" t="str">
            <v xml:space="preserve"> 8.N.K</v>
          </cell>
          <cell r="L93">
            <v>0</v>
          </cell>
          <cell r="M93">
            <v>4</v>
          </cell>
          <cell r="N93">
            <v>4</v>
          </cell>
          <cell r="O93">
            <v>4</v>
          </cell>
          <cell r="P93">
            <v>4</v>
          </cell>
          <cell r="Q93">
            <v>4</v>
          </cell>
          <cell r="R93">
            <v>4</v>
          </cell>
        </row>
        <row r="94">
          <cell r="B94" t="str">
            <v xml:space="preserve"> 9.N.K</v>
          </cell>
          <cell r="L94">
            <v>0</v>
          </cell>
          <cell r="M94">
            <v>4</v>
          </cell>
          <cell r="N94">
            <v>4</v>
          </cell>
          <cell r="O94">
            <v>4</v>
          </cell>
          <cell r="P94">
            <v>4</v>
          </cell>
          <cell r="Q94">
            <v>4</v>
          </cell>
          <cell r="R94">
            <v>4</v>
          </cell>
        </row>
        <row r="95">
          <cell r="B95" t="str">
            <v>TOPLAM</v>
          </cell>
          <cell r="C95">
            <v>24</v>
          </cell>
          <cell r="D95">
            <v>24</v>
          </cell>
          <cell r="E95">
            <v>20</v>
          </cell>
          <cell r="F95">
            <v>32</v>
          </cell>
          <cell r="G95">
            <v>15</v>
          </cell>
          <cell r="H95">
            <v>0</v>
          </cell>
          <cell r="I95">
            <v>32</v>
          </cell>
          <cell r="J95">
            <v>32</v>
          </cell>
          <cell r="K95">
            <v>32</v>
          </cell>
          <cell r="L95">
            <v>32</v>
          </cell>
          <cell r="M95">
            <v>40</v>
          </cell>
          <cell r="N95">
            <v>40</v>
          </cell>
          <cell r="O95">
            <v>40</v>
          </cell>
          <cell r="P95">
            <v>40</v>
          </cell>
          <cell r="Q95">
            <v>40</v>
          </cell>
          <cell r="R95">
            <v>40</v>
          </cell>
          <cell r="S95">
            <v>3</v>
          </cell>
        </row>
        <row r="96">
          <cell r="L96" t="str">
            <v xml:space="preserve">A-) İMAL EDİLMİŞ TOPLAM DAİRE </v>
          </cell>
          <cell r="Q96">
            <v>486</v>
          </cell>
        </row>
        <row r="97">
          <cell r="L97" t="str">
            <v>B-) BİR DAİRE MİKTARI</v>
          </cell>
          <cell r="Q97">
            <v>32.569642857142902</v>
          </cell>
        </row>
        <row r="98">
          <cell r="L98" t="str">
            <v>C-) TOPLAM ERİTİLECEK MİKTAR</v>
          </cell>
          <cell r="Q98">
            <v>15828.8464285715</v>
          </cell>
        </row>
        <row r="102">
          <cell r="D102" t="str">
            <v>MÜTEAHHİT</v>
          </cell>
          <cell r="P102" t="str">
            <v>KONT. MÜH.</v>
          </cell>
        </row>
        <row r="104">
          <cell r="D104" t="str">
            <v>BİAT İNŞAAT SANAYİİ</v>
          </cell>
          <cell r="P104" t="str">
            <v>CELİL YAĞMUROĞLU</v>
          </cell>
        </row>
        <row r="105">
          <cell r="D105" t="str">
            <v>VE TİCARET A. Ş.</v>
          </cell>
          <cell r="P105" t="str">
            <v>YÜK.MİMAR</v>
          </cell>
        </row>
        <row r="110">
          <cell r="B110" t="str">
            <v>MÜTEAHHİT</v>
          </cell>
          <cell r="D110" t="str">
            <v>: BİAT  İNŞAAT</v>
          </cell>
          <cell r="O110" t="str">
            <v>HAK. NO   : 11</v>
          </cell>
        </row>
        <row r="111">
          <cell r="B111" t="str">
            <v>BÖLGE  NO</v>
          </cell>
          <cell r="D111" t="str">
            <v>: İKİTELLİ 1. BÖLGE</v>
          </cell>
          <cell r="O111" t="str">
            <v>HAK.TARİH :05/07/1996</v>
          </cell>
        </row>
        <row r="112">
          <cell r="O112" t="str">
            <v>SAYFA NO  :</v>
          </cell>
          <cell r="Q112">
            <v>4</v>
          </cell>
        </row>
        <row r="114">
          <cell r="B114" t="str">
            <v>FAYANS  ERİTME  HESAP  TABLOSU</v>
          </cell>
        </row>
        <row r="115">
          <cell r="C115" t="str">
            <v xml:space="preserve">BLOK NO </v>
          </cell>
        </row>
        <row r="116">
          <cell r="B116" t="str">
            <v>KATLAR</v>
          </cell>
          <cell r="C116">
            <v>1</v>
          </cell>
          <cell r="D116">
            <v>2</v>
          </cell>
          <cell r="E116">
            <v>3</v>
          </cell>
          <cell r="F116">
            <v>4</v>
          </cell>
          <cell r="G116">
            <v>5</v>
          </cell>
          <cell r="H116">
            <v>6</v>
          </cell>
          <cell r="I116">
            <v>7</v>
          </cell>
          <cell r="J116">
            <v>8</v>
          </cell>
          <cell r="K116">
            <v>9</v>
          </cell>
          <cell r="L116">
            <v>10</v>
          </cell>
          <cell r="M116">
            <v>11</v>
          </cell>
          <cell r="N116">
            <v>12</v>
          </cell>
          <cell r="O116">
            <v>13</v>
          </cell>
          <cell r="P116">
            <v>14</v>
          </cell>
          <cell r="Q116">
            <v>15</v>
          </cell>
          <cell r="R116">
            <v>16</v>
          </cell>
          <cell r="S116">
            <v>17</v>
          </cell>
        </row>
        <row r="118">
          <cell r="B118" t="str">
            <v xml:space="preserve"> 2.B.K.</v>
          </cell>
        </row>
        <row r="119">
          <cell r="B119" t="str">
            <v xml:space="preserve"> 1.B.K.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K119">
            <v>0</v>
          </cell>
          <cell r="L119">
            <v>0</v>
          </cell>
          <cell r="O119">
            <v>0</v>
          </cell>
          <cell r="Q119">
            <v>0</v>
          </cell>
        </row>
        <row r="120">
          <cell r="B120" t="str">
            <v xml:space="preserve"> Z.K.</v>
          </cell>
          <cell r="C120">
            <v>4</v>
          </cell>
          <cell r="D120">
            <v>4</v>
          </cell>
          <cell r="E120">
            <v>4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4</v>
          </cell>
          <cell r="K120">
            <v>4</v>
          </cell>
          <cell r="L120">
            <v>4</v>
          </cell>
          <cell r="M120">
            <v>4</v>
          </cell>
          <cell r="N120">
            <v>4</v>
          </cell>
          <cell r="O120">
            <v>4</v>
          </cell>
          <cell r="P120">
            <v>4</v>
          </cell>
          <cell r="Q120">
            <v>4</v>
          </cell>
          <cell r="R120">
            <v>4</v>
          </cell>
          <cell r="S120">
            <v>4</v>
          </cell>
        </row>
        <row r="121">
          <cell r="B121" t="str">
            <v xml:space="preserve"> 1.N.K</v>
          </cell>
          <cell r="C121">
            <v>4</v>
          </cell>
          <cell r="D121">
            <v>4</v>
          </cell>
          <cell r="E121">
            <v>4</v>
          </cell>
          <cell r="F121">
            <v>4</v>
          </cell>
          <cell r="G121">
            <v>4</v>
          </cell>
          <cell r="H121">
            <v>4</v>
          </cell>
          <cell r="I121">
            <v>4</v>
          </cell>
          <cell r="J121">
            <v>4</v>
          </cell>
          <cell r="K121">
            <v>4</v>
          </cell>
          <cell r="L121">
            <v>4</v>
          </cell>
          <cell r="M121">
            <v>4</v>
          </cell>
          <cell r="N121">
            <v>4</v>
          </cell>
          <cell r="O121">
            <v>4</v>
          </cell>
          <cell r="P121">
            <v>4</v>
          </cell>
          <cell r="Q121">
            <v>4</v>
          </cell>
          <cell r="R121">
            <v>4</v>
          </cell>
          <cell r="S121">
            <v>4</v>
          </cell>
        </row>
        <row r="122">
          <cell r="B122" t="str">
            <v xml:space="preserve"> 2.N.K</v>
          </cell>
          <cell r="C122">
            <v>4</v>
          </cell>
          <cell r="D122">
            <v>4</v>
          </cell>
          <cell r="E122">
            <v>4</v>
          </cell>
          <cell r="F122">
            <v>4</v>
          </cell>
          <cell r="G122">
            <v>4</v>
          </cell>
          <cell r="H122">
            <v>4</v>
          </cell>
          <cell r="I122">
            <v>4</v>
          </cell>
          <cell r="J122">
            <v>4</v>
          </cell>
          <cell r="K122">
            <v>4</v>
          </cell>
          <cell r="L122">
            <v>4</v>
          </cell>
          <cell r="M122">
            <v>4</v>
          </cell>
          <cell r="N122">
            <v>4</v>
          </cell>
          <cell r="O122">
            <v>4</v>
          </cell>
          <cell r="P122">
            <v>4</v>
          </cell>
          <cell r="Q122">
            <v>4</v>
          </cell>
          <cell r="R122">
            <v>4</v>
          </cell>
          <cell r="S122">
            <v>4</v>
          </cell>
        </row>
        <row r="123">
          <cell r="B123" t="str">
            <v xml:space="preserve"> 3.N.K</v>
          </cell>
          <cell r="C123">
            <v>4</v>
          </cell>
          <cell r="D123">
            <v>4</v>
          </cell>
          <cell r="E123">
            <v>4</v>
          </cell>
          <cell r="F123">
            <v>4</v>
          </cell>
          <cell r="G123">
            <v>4</v>
          </cell>
          <cell r="H123">
            <v>4</v>
          </cell>
          <cell r="I123">
            <v>4</v>
          </cell>
          <cell r="J123">
            <v>4</v>
          </cell>
          <cell r="K123">
            <v>4</v>
          </cell>
          <cell r="L123">
            <v>4</v>
          </cell>
          <cell r="M123">
            <v>4</v>
          </cell>
          <cell r="N123">
            <v>4</v>
          </cell>
          <cell r="O123">
            <v>4</v>
          </cell>
          <cell r="P123">
            <v>4</v>
          </cell>
          <cell r="Q123">
            <v>4</v>
          </cell>
          <cell r="R123">
            <v>4</v>
          </cell>
          <cell r="S123">
            <v>4</v>
          </cell>
        </row>
        <row r="124">
          <cell r="B124" t="str">
            <v xml:space="preserve"> 4.N.K</v>
          </cell>
          <cell r="C124">
            <v>4</v>
          </cell>
          <cell r="D124">
            <v>4</v>
          </cell>
          <cell r="E124">
            <v>4</v>
          </cell>
          <cell r="F124">
            <v>4</v>
          </cell>
          <cell r="G124">
            <v>4</v>
          </cell>
          <cell r="H124">
            <v>4</v>
          </cell>
          <cell r="I124">
            <v>4</v>
          </cell>
          <cell r="J124">
            <v>4</v>
          </cell>
          <cell r="K124">
            <v>4</v>
          </cell>
          <cell r="L124">
            <v>4</v>
          </cell>
          <cell r="M124">
            <v>4</v>
          </cell>
          <cell r="N124">
            <v>4</v>
          </cell>
          <cell r="O124">
            <v>4</v>
          </cell>
          <cell r="P124">
            <v>4</v>
          </cell>
          <cell r="Q124">
            <v>4</v>
          </cell>
          <cell r="R124">
            <v>4</v>
          </cell>
        </row>
        <row r="125">
          <cell r="B125" t="str">
            <v xml:space="preserve"> 5.N.K</v>
          </cell>
          <cell r="C125">
            <v>4</v>
          </cell>
          <cell r="D125">
            <v>4</v>
          </cell>
          <cell r="E125">
            <v>4</v>
          </cell>
          <cell r="F125">
            <v>4</v>
          </cell>
          <cell r="G125">
            <v>4</v>
          </cell>
          <cell r="H125">
            <v>4</v>
          </cell>
          <cell r="I125">
            <v>4</v>
          </cell>
          <cell r="J125">
            <v>4</v>
          </cell>
          <cell r="K125">
            <v>4</v>
          </cell>
          <cell r="L125">
            <v>4</v>
          </cell>
          <cell r="M125">
            <v>4</v>
          </cell>
          <cell r="N125">
            <v>4</v>
          </cell>
          <cell r="O125">
            <v>4</v>
          </cell>
          <cell r="P125">
            <v>4</v>
          </cell>
          <cell r="Q125">
            <v>4</v>
          </cell>
          <cell r="R125">
            <v>4</v>
          </cell>
        </row>
        <row r="126">
          <cell r="B126" t="str">
            <v xml:space="preserve"> 6.N.K</v>
          </cell>
          <cell r="F126">
            <v>4</v>
          </cell>
          <cell r="G126">
            <v>4</v>
          </cell>
          <cell r="H126">
            <v>4</v>
          </cell>
          <cell r="I126">
            <v>4</v>
          </cell>
          <cell r="J126">
            <v>4</v>
          </cell>
          <cell r="K126">
            <v>4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>
            <v>4</v>
          </cell>
          <cell r="R126">
            <v>4</v>
          </cell>
        </row>
        <row r="127">
          <cell r="B127" t="str">
            <v xml:space="preserve"> 7.N.K</v>
          </cell>
          <cell r="F127">
            <v>4</v>
          </cell>
          <cell r="G127">
            <v>4</v>
          </cell>
          <cell r="H127">
            <v>4</v>
          </cell>
          <cell r="I127">
            <v>4</v>
          </cell>
          <cell r="J127">
            <v>4</v>
          </cell>
          <cell r="K127">
            <v>4</v>
          </cell>
          <cell r="L127">
            <v>4</v>
          </cell>
          <cell r="M127">
            <v>4</v>
          </cell>
          <cell r="N127">
            <v>4</v>
          </cell>
          <cell r="O127">
            <v>4</v>
          </cell>
          <cell r="P127">
            <v>4</v>
          </cell>
          <cell r="Q127">
            <v>4</v>
          </cell>
          <cell r="R127">
            <v>4</v>
          </cell>
        </row>
        <row r="128">
          <cell r="B128" t="str">
            <v xml:space="preserve"> 8.N.K</v>
          </cell>
          <cell r="G128">
            <v>4</v>
          </cell>
          <cell r="H128">
            <v>4</v>
          </cell>
          <cell r="K128">
            <v>0</v>
          </cell>
          <cell r="M128">
            <v>4</v>
          </cell>
          <cell r="N128">
            <v>4</v>
          </cell>
          <cell r="O128">
            <v>4</v>
          </cell>
          <cell r="P128">
            <v>4</v>
          </cell>
          <cell r="Q128">
            <v>4</v>
          </cell>
          <cell r="R128">
            <v>4</v>
          </cell>
        </row>
        <row r="129">
          <cell r="B129" t="str">
            <v xml:space="preserve"> 9.N.K</v>
          </cell>
          <cell r="K129">
            <v>0</v>
          </cell>
          <cell r="L129">
            <v>0</v>
          </cell>
          <cell r="M129">
            <v>4</v>
          </cell>
          <cell r="N129">
            <v>4</v>
          </cell>
          <cell r="O129">
            <v>4</v>
          </cell>
          <cell r="P129">
            <v>4</v>
          </cell>
          <cell r="Q129">
            <v>4</v>
          </cell>
          <cell r="R129">
            <v>4</v>
          </cell>
        </row>
        <row r="130">
          <cell r="B130" t="str">
            <v>TOPLAM</v>
          </cell>
          <cell r="C130">
            <v>24</v>
          </cell>
          <cell r="D130">
            <v>24</v>
          </cell>
          <cell r="E130">
            <v>24</v>
          </cell>
          <cell r="F130">
            <v>32</v>
          </cell>
          <cell r="G130">
            <v>36</v>
          </cell>
          <cell r="H130">
            <v>36</v>
          </cell>
          <cell r="I130">
            <v>32</v>
          </cell>
          <cell r="J130">
            <v>32</v>
          </cell>
          <cell r="K130">
            <v>32</v>
          </cell>
          <cell r="L130">
            <v>32</v>
          </cell>
          <cell r="M130">
            <v>40</v>
          </cell>
          <cell r="N130">
            <v>40</v>
          </cell>
          <cell r="O130">
            <v>40</v>
          </cell>
          <cell r="P130">
            <v>40</v>
          </cell>
          <cell r="Q130">
            <v>40</v>
          </cell>
          <cell r="R130">
            <v>40</v>
          </cell>
          <cell r="S130">
            <v>16</v>
          </cell>
        </row>
        <row r="131">
          <cell r="L131" t="str">
            <v xml:space="preserve">A-) İMAL EDİLMİŞ TOPLAM DAİRE </v>
          </cell>
          <cell r="Q131">
            <v>560</v>
          </cell>
        </row>
        <row r="132">
          <cell r="L132" t="str">
            <v>B-) BİR DAİRE MİKTARI</v>
          </cell>
          <cell r="Q132">
            <v>40.535714285714299</v>
          </cell>
        </row>
        <row r="133">
          <cell r="L133" t="str">
            <v>C-) TOPLAM ERİTİLECEK MİKTAR</v>
          </cell>
          <cell r="Q133">
            <v>22700</v>
          </cell>
        </row>
        <row r="137">
          <cell r="D137" t="str">
            <v>MÜTEAHHİT</v>
          </cell>
          <cell r="P137" t="str">
            <v>KONT. MÜH.</v>
          </cell>
        </row>
        <row r="139">
          <cell r="D139" t="str">
            <v>BİAT İNŞAAT SANAYİİ</v>
          </cell>
          <cell r="P139" t="str">
            <v>CELİL YAĞMUROĞLU</v>
          </cell>
        </row>
        <row r="140">
          <cell r="D140" t="str">
            <v>VE TİCARET A. Ş.</v>
          </cell>
          <cell r="P140" t="str">
            <v>YÜK.MİMAR</v>
          </cell>
        </row>
        <row r="146">
          <cell r="B146" t="str">
            <v>MÜTEAHHİT</v>
          </cell>
          <cell r="D146" t="str">
            <v>: BİAT  İNŞAAT</v>
          </cell>
          <cell r="O146" t="str">
            <v>HAK. NO   : 11</v>
          </cell>
        </row>
        <row r="147">
          <cell r="B147" t="str">
            <v>BÖLGE  NO</v>
          </cell>
          <cell r="D147" t="str">
            <v>: İKİTELLİ 1. BÖLGE</v>
          </cell>
          <cell r="O147" t="str">
            <v>HAK.TARİH :05/07/1996</v>
          </cell>
        </row>
        <row r="148">
          <cell r="O148" t="str">
            <v>SAYFA NO  :</v>
          </cell>
          <cell r="Q148">
            <v>5</v>
          </cell>
        </row>
        <row r="150">
          <cell r="B150" t="str">
            <v>POLİPAN  ERİTME  HESAP  TABLOSU</v>
          </cell>
        </row>
        <row r="151">
          <cell r="C151" t="str">
            <v xml:space="preserve">BLOK NO </v>
          </cell>
        </row>
        <row r="152">
          <cell r="B152" t="str">
            <v>KATLAR</v>
          </cell>
          <cell r="C152">
            <v>1</v>
          </cell>
          <cell r="D152">
            <v>2</v>
          </cell>
          <cell r="E152">
            <v>3</v>
          </cell>
          <cell r="F152">
            <v>4</v>
          </cell>
          <cell r="G152">
            <v>5</v>
          </cell>
          <cell r="H152">
            <v>6</v>
          </cell>
          <cell r="I152">
            <v>7</v>
          </cell>
          <cell r="J152">
            <v>8</v>
          </cell>
          <cell r="K152">
            <v>9</v>
          </cell>
          <cell r="L152">
            <v>10</v>
          </cell>
          <cell r="M152">
            <v>11</v>
          </cell>
          <cell r="N152">
            <v>12</v>
          </cell>
          <cell r="O152">
            <v>13</v>
          </cell>
          <cell r="P152">
            <v>14</v>
          </cell>
          <cell r="Q152">
            <v>15</v>
          </cell>
          <cell r="R152">
            <v>16</v>
          </cell>
          <cell r="S152">
            <v>17</v>
          </cell>
        </row>
        <row r="154">
          <cell r="B154" t="str">
            <v xml:space="preserve"> 2.B.K.</v>
          </cell>
        </row>
        <row r="155">
          <cell r="B155" t="str">
            <v xml:space="preserve"> 1.B.K.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K155">
            <v>0</v>
          </cell>
          <cell r="L155">
            <v>0</v>
          </cell>
          <cell r="O155">
            <v>0</v>
          </cell>
          <cell r="Q155">
            <v>0</v>
          </cell>
        </row>
        <row r="156">
          <cell r="B156" t="str">
            <v xml:space="preserve"> Z.K.</v>
          </cell>
          <cell r="C156">
            <v>4</v>
          </cell>
          <cell r="D156">
            <v>4</v>
          </cell>
          <cell r="E156">
            <v>4</v>
          </cell>
          <cell r="F156">
            <v>4</v>
          </cell>
          <cell r="G156">
            <v>4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4</v>
          </cell>
          <cell r="M156">
            <v>4</v>
          </cell>
          <cell r="N156">
            <v>4</v>
          </cell>
          <cell r="O156">
            <v>4</v>
          </cell>
          <cell r="P156">
            <v>4</v>
          </cell>
          <cell r="Q156">
            <v>4</v>
          </cell>
          <cell r="R156">
            <v>4</v>
          </cell>
          <cell r="S156">
            <v>4</v>
          </cell>
        </row>
        <row r="157">
          <cell r="B157" t="str">
            <v xml:space="preserve"> 1.N.K</v>
          </cell>
          <cell r="C157">
            <v>4</v>
          </cell>
          <cell r="D157">
            <v>4</v>
          </cell>
          <cell r="E157">
            <v>4</v>
          </cell>
          <cell r="F157">
            <v>4</v>
          </cell>
          <cell r="G157">
            <v>4</v>
          </cell>
          <cell r="H157">
            <v>4</v>
          </cell>
          <cell r="I157">
            <v>4</v>
          </cell>
          <cell r="J157">
            <v>4</v>
          </cell>
          <cell r="K157">
            <v>4</v>
          </cell>
          <cell r="L157">
            <v>4</v>
          </cell>
          <cell r="M157">
            <v>4</v>
          </cell>
          <cell r="N157">
            <v>4</v>
          </cell>
          <cell r="O157">
            <v>4</v>
          </cell>
          <cell r="P157">
            <v>4</v>
          </cell>
          <cell r="Q157">
            <v>4</v>
          </cell>
          <cell r="R157">
            <v>4</v>
          </cell>
          <cell r="S157">
            <v>4</v>
          </cell>
        </row>
        <row r="158">
          <cell r="B158" t="str">
            <v xml:space="preserve"> 2.N.K</v>
          </cell>
          <cell r="C158">
            <v>4</v>
          </cell>
          <cell r="D158">
            <v>4</v>
          </cell>
          <cell r="E158">
            <v>4</v>
          </cell>
          <cell r="F158">
            <v>4</v>
          </cell>
          <cell r="G158">
            <v>4</v>
          </cell>
          <cell r="H158">
            <v>4</v>
          </cell>
          <cell r="I158">
            <v>4</v>
          </cell>
          <cell r="J158">
            <v>4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</v>
          </cell>
          <cell r="P158">
            <v>4</v>
          </cell>
          <cell r="Q158">
            <v>4</v>
          </cell>
          <cell r="R158">
            <v>4</v>
          </cell>
          <cell r="S158">
            <v>4</v>
          </cell>
        </row>
        <row r="159">
          <cell r="B159" t="str">
            <v xml:space="preserve"> 3.N.K</v>
          </cell>
          <cell r="C159">
            <v>4</v>
          </cell>
          <cell r="D159">
            <v>4</v>
          </cell>
          <cell r="E159">
            <v>4</v>
          </cell>
          <cell r="F159">
            <v>4</v>
          </cell>
          <cell r="G159">
            <v>4</v>
          </cell>
          <cell r="H159">
            <v>4</v>
          </cell>
          <cell r="I159">
            <v>4</v>
          </cell>
          <cell r="J159">
            <v>4</v>
          </cell>
          <cell r="K159">
            <v>4</v>
          </cell>
          <cell r="L159">
            <v>4</v>
          </cell>
          <cell r="M159">
            <v>4</v>
          </cell>
          <cell r="N159">
            <v>4</v>
          </cell>
          <cell r="O159">
            <v>4</v>
          </cell>
          <cell r="P159">
            <v>4</v>
          </cell>
          <cell r="Q159">
            <v>4</v>
          </cell>
          <cell r="R159">
            <v>4</v>
          </cell>
          <cell r="S159">
            <v>4</v>
          </cell>
        </row>
        <row r="160">
          <cell r="B160" t="str">
            <v xml:space="preserve"> 4.N.K</v>
          </cell>
          <cell r="C160">
            <v>4</v>
          </cell>
          <cell r="D160">
            <v>4</v>
          </cell>
          <cell r="E160">
            <v>4</v>
          </cell>
          <cell r="F160">
            <v>4</v>
          </cell>
          <cell r="G160">
            <v>4</v>
          </cell>
          <cell r="H160">
            <v>4</v>
          </cell>
          <cell r="I160">
            <v>4</v>
          </cell>
          <cell r="J160">
            <v>4</v>
          </cell>
          <cell r="K160">
            <v>4</v>
          </cell>
          <cell r="L160">
            <v>4</v>
          </cell>
          <cell r="M160">
            <v>4</v>
          </cell>
          <cell r="N160">
            <v>4</v>
          </cell>
          <cell r="O160">
            <v>4</v>
          </cell>
          <cell r="P160">
            <v>4</v>
          </cell>
          <cell r="Q160">
            <v>4</v>
          </cell>
          <cell r="R160">
            <v>4</v>
          </cell>
        </row>
        <row r="161">
          <cell r="B161" t="str">
            <v xml:space="preserve"> 5.N.K</v>
          </cell>
          <cell r="C161">
            <v>4</v>
          </cell>
          <cell r="D161">
            <v>4</v>
          </cell>
          <cell r="E161">
            <v>4</v>
          </cell>
          <cell r="F161">
            <v>4</v>
          </cell>
          <cell r="G161">
            <v>4</v>
          </cell>
          <cell r="H161">
            <v>4</v>
          </cell>
          <cell r="I161">
            <v>4</v>
          </cell>
          <cell r="J161">
            <v>4</v>
          </cell>
          <cell r="K161">
            <v>4</v>
          </cell>
          <cell r="L161">
            <v>4</v>
          </cell>
          <cell r="M161">
            <v>4</v>
          </cell>
          <cell r="N161">
            <v>4</v>
          </cell>
          <cell r="O161">
            <v>4</v>
          </cell>
          <cell r="P161">
            <v>4</v>
          </cell>
          <cell r="Q161">
            <v>4</v>
          </cell>
          <cell r="R161">
            <v>4</v>
          </cell>
        </row>
        <row r="162">
          <cell r="B162" t="str">
            <v xml:space="preserve"> 6.N.K</v>
          </cell>
          <cell r="F162">
            <v>4</v>
          </cell>
          <cell r="G162">
            <v>4</v>
          </cell>
          <cell r="H162">
            <v>4</v>
          </cell>
          <cell r="I162">
            <v>4</v>
          </cell>
          <cell r="J162">
            <v>4</v>
          </cell>
          <cell r="K162">
            <v>4</v>
          </cell>
          <cell r="L162">
            <v>4</v>
          </cell>
          <cell r="M162">
            <v>4</v>
          </cell>
          <cell r="N162">
            <v>4</v>
          </cell>
          <cell r="O162">
            <v>4</v>
          </cell>
          <cell r="P162">
            <v>4</v>
          </cell>
          <cell r="Q162">
            <v>4</v>
          </cell>
          <cell r="R162">
            <v>4</v>
          </cell>
        </row>
        <row r="163">
          <cell r="B163" t="str">
            <v xml:space="preserve"> 7.N.K</v>
          </cell>
          <cell r="F163">
            <v>4</v>
          </cell>
          <cell r="G163">
            <v>4</v>
          </cell>
          <cell r="H163">
            <v>4</v>
          </cell>
          <cell r="I163">
            <v>4</v>
          </cell>
          <cell r="J163">
            <v>4</v>
          </cell>
          <cell r="K163">
            <v>4</v>
          </cell>
          <cell r="L163">
            <v>4</v>
          </cell>
          <cell r="M163">
            <v>4</v>
          </cell>
          <cell r="N163">
            <v>4</v>
          </cell>
          <cell r="O163">
            <v>4</v>
          </cell>
          <cell r="P163">
            <v>4</v>
          </cell>
          <cell r="Q163">
            <v>4</v>
          </cell>
          <cell r="R163">
            <v>4</v>
          </cell>
        </row>
        <row r="164">
          <cell r="B164" t="str">
            <v xml:space="preserve"> 8.N.K</v>
          </cell>
          <cell r="G164">
            <v>4</v>
          </cell>
          <cell r="H164">
            <v>4</v>
          </cell>
          <cell r="K164">
            <v>0</v>
          </cell>
          <cell r="L164">
            <v>0</v>
          </cell>
          <cell r="M164">
            <v>4</v>
          </cell>
          <cell r="N164">
            <v>4</v>
          </cell>
          <cell r="O164">
            <v>4</v>
          </cell>
          <cell r="P164">
            <v>4</v>
          </cell>
          <cell r="Q164">
            <v>4</v>
          </cell>
          <cell r="R164">
            <v>4</v>
          </cell>
        </row>
        <row r="165">
          <cell r="B165" t="str">
            <v xml:space="preserve"> 9.N.K</v>
          </cell>
          <cell r="K165">
            <v>0</v>
          </cell>
          <cell r="L165">
            <v>0</v>
          </cell>
          <cell r="M165">
            <v>4</v>
          </cell>
          <cell r="N165">
            <v>4</v>
          </cell>
          <cell r="O165">
            <v>4</v>
          </cell>
          <cell r="P165">
            <v>4</v>
          </cell>
          <cell r="Q165">
            <v>4</v>
          </cell>
          <cell r="R165">
            <v>4</v>
          </cell>
          <cell r="S165" t="str">
            <v/>
          </cell>
        </row>
        <row r="166">
          <cell r="B166" t="str">
            <v>TOPLAM</v>
          </cell>
          <cell r="C166">
            <v>24</v>
          </cell>
          <cell r="D166">
            <v>24</v>
          </cell>
          <cell r="E166">
            <v>24</v>
          </cell>
          <cell r="F166">
            <v>32</v>
          </cell>
          <cell r="G166">
            <v>36</v>
          </cell>
          <cell r="H166">
            <v>36</v>
          </cell>
          <cell r="I166">
            <v>32</v>
          </cell>
          <cell r="J166">
            <v>32</v>
          </cell>
          <cell r="K166">
            <v>32</v>
          </cell>
          <cell r="L166">
            <v>32</v>
          </cell>
          <cell r="M166">
            <v>40</v>
          </cell>
          <cell r="N166">
            <v>40</v>
          </cell>
          <cell r="O166">
            <v>40</v>
          </cell>
          <cell r="P166">
            <v>40</v>
          </cell>
          <cell r="Q166">
            <v>40</v>
          </cell>
          <cell r="R166">
            <v>40</v>
          </cell>
          <cell r="S166">
            <v>16</v>
          </cell>
        </row>
        <row r="167">
          <cell r="L167" t="str">
            <v xml:space="preserve">A-) İMAL EDİLMİŞ TOPLAM DAİRE </v>
          </cell>
          <cell r="Q167">
            <v>560</v>
          </cell>
        </row>
        <row r="168">
          <cell r="L168" t="str">
            <v>B-) BİR DAİRE MİKTARI ( m2 )</v>
          </cell>
          <cell r="Q168">
            <v>28.82</v>
          </cell>
        </row>
        <row r="169">
          <cell r="L169" t="str">
            <v>C-) BİR DAİRE MİKTARI ( m3 )</v>
          </cell>
          <cell r="Q169">
            <v>0.72050000000000003</v>
          </cell>
        </row>
        <row r="170">
          <cell r="L170" t="str">
            <v>C-) TOPLAM ERİTİLECEK MİKTAR</v>
          </cell>
          <cell r="Q170">
            <v>403.48</v>
          </cell>
        </row>
        <row r="173">
          <cell r="D173" t="str">
            <v>MÜTEAHHİT</v>
          </cell>
          <cell r="P173" t="str">
            <v>KONT. MÜH.</v>
          </cell>
        </row>
        <row r="175">
          <cell r="D175" t="str">
            <v>BİAT İNŞAAT SANAYİİ</v>
          </cell>
          <cell r="P175" t="str">
            <v>CELİL YAĞMUROĞLU</v>
          </cell>
        </row>
        <row r="176">
          <cell r="D176" t="str">
            <v>VE TİCARET A. Ş.</v>
          </cell>
          <cell r="P176" t="str">
            <v>YÜK.MİMAR</v>
          </cell>
        </row>
        <row r="209">
          <cell r="B209" t="str">
            <v>MÜTEAHHİT</v>
          </cell>
          <cell r="D209" t="str">
            <v>: BİAT  İNŞAAT</v>
          </cell>
          <cell r="O209" t="str">
            <v>HAK. NO   : 11</v>
          </cell>
        </row>
        <row r="210">
          <cell r="B210" t="str">
            <v>BÖLGE  NO</v>
          </cell>
          <cell r="D210" t="str">
            <v>: İKİTELLİ 1. BÖLGE</v>
          </cell>
          <cell r="O210" t="str">
            <v>HAK.TARİH :05/07/1996</v>
          </cell>
        </row>
        <row r="211">
          <cell r="O211" t="str">
            <v>SAYFA NO  :</v>
          </cell>
          <cell r="Q211">
            <v>7</v>
          </cell>
        </row>
        <row r="213">
          <cell r="B213" t="str">
            <v>SAC KAPI KASASI ERİTME TABLOSU</v>
          </cell>
        </row>
        <row r="214">
          <cell r="C214" t="str">
            <v xml:space="preserve">BLOK NO </v>
          </cell>
        </row>
        <row r="215">
          <cell r="B215" t="str">
            <v>KATLAR</v>
          </cell>
          <cell r="C215">
            <v>1</v>
          </cell>
          <cell r="D215">
            <v>2</v>
          </cell>
          <cell r="E215">
            <v>3</v>
          </cell>
          <cell r="F215">
            <v>4</v>
          </cell>
          <cell r="G215">
            <v>5</v>
          </cell>
          <cell r="H215">
            <v>6</v>
          </cell>
          <cell r="I215">
            <v>7</v>
          </cell>
          <cell r="J215">
            <v>8</v>
          </cell>
          <cell r="K215">
            <v>9</v>
          </cell>
          <cell r="L215">
            <v>10</v>
          </cell>
          <cell r="M215">
            <v>11</v>
          </cell>
          <cell r="N215">
            <v>12</v>
          </cell>
          <cell r="O215">
            <v>13</v>
          </cell>
          <cell r="P215">
            <v>14</v>
          </cell>
          <cell r="Q215">
            <v>15</v>
          </cell>
          <cell r="R215">
            <v>16</v>
          </cell>
          <cell r="S215">
            <v>17</v>
          </cell>
        </row>
        <row r="217">
          <cell r="B217" t="str">
            <v xml:space="preserve"> 2.B.K.</v>
          </cell>
        </row>
        <row r="218">
          <cell r="B218" t="str">
            <v xml:space="preserve"> 1.B.K.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K218">
            <v>0</v>
          </cell>
          <cell r="L218">
            <v>0</v>
          </cell>
          <cell r="Q218">
            <v>0</v>
          </cell>
        </row>
        <row r="219">
          <cell r="B219" t="str">
            <v xml:space="preserve"> Z.K.</v>
          </cell>
          <cell r="C219">
            <v>4</v>
          </cell>
          <cell r="D219">
            <v>4</v>
          </cell>
          <cell r="E219">
            <v>4</v>
          </cell>
          <cell r="F219">
            <v>4</v>
          </cell>
          <cell r="G219">
            <v>4</v>
          </cell>
          <cell r="H219">
            <v>4</v>
          </cell>
          <cell r="I219">
            <v>4</v>
          </cell>
          <cell r="J219">
            <v>4</v>
          </cell>
          <cell r="K219">
            <v>4</v>
          </cell>
          <cell r="L219">
            <v>4</v>
          </cell>
          <cell r="M219">
            <v>4</v>
          </cell>
          <cell r="N219">
            <v>4</v>
          </cell>
          <cell r="O219">
            <v>4</v>
          </cell>
          <cell r="P219">
            <v>4</v>
          </cell>
          <cell r="Q219">
            <v>4</v>
          </cell>
          <cell r="R219">
            <v>4</v>
          </cell>
          <cell r="S219">
            <v>4</v>
          </cell>
        </row>
        <row r="220">
          <cell r="B220" t="str">
            <v xml:space="preserve"> 1.N.K</v>
          </cell>
          <cell r="C220">
            <v>4</v>
          </cell>
          <cell r="D220">
            <v>4</v>
          </cell>
          <cell r="E220">
            <v>4</v>
          </cell>
          <cell r="F220">
            <v>4</v>
          </cell>
          <cell r="G220">
            <v>4</v>
          </cell>
          <cell r="H220">
            <v>4</v>
          </cell>
          <cell r="I220">
            <v>4</v>
          </cell>
          <cell r="J220">
            <v>4</v>
          </cell>
          <cell r="K220">
            <v>4</v>
          </cell>
          <cell r="L220">
            <v>4</v>
          </cell>
          <cell r="M220">
            <v>4</v>
          </cell>
          <cell r="N220">
            <v>4</v>
          </cell>
          <cell r="O220">
            <v>4</v>
          </cell>
          <cell r="P220">
            <v>4</v>
          </cell>
          <cell r="Q220">
            <v>4</v>
          </cell>
          <cell r="R220">
            <v>4</v>
          </cell>
          <cell r="S220">
            <v>4</v>
          </cell>
        </row>
        <row r="221">
          <cell r="B221" t="str">
            <v xml:space="preserve"> 2.N.K</v>
          </cell>
          <cell r="C221">
            <v>4</v>
          </cell>
          <cell r="D221">
            <v>4</v>
          </cell>
          <cell r="E221">
            <v>4</v>
          </cell>
          <cell r="F221">
            <v>4</v>
          </cell>
          <cell r="G221">
            <v>4</v>
          </cell>
          <cell r="H221">
            <v>4</v>
          </cell>
          <cell r="I221">
            <v>4</v>
          </cell>
          <cell r="J221">
            <v>4</v>
          </cell>
          <cell r="K221">
            <v>4</v>
          </cell>
          <cell r="L221">
            <v>4</v>
          </cell>
          <cell r="M221">
            <v>4</v>
          </cell>
          <cell r="N221">
            <v>4</v>
          </cell>
          <cell r="O221">
            <v>4</v>
          </cell>
          <cell r="P221">
            <v>4</v>
          </cell>
          <cell r="Q221">
            <v>4</v>
          </cell>
          <cell r="R221">
            <v>4</v>
          </cell>
          <cell r="S221">
            <v>4</v>
          </cell>
        </row>
        <row r="222">
          <cell r="B222" t="str">
            <v xml:space="preserve"> 3.N.K</v>
          </cell>
          <cell r="C222">
            <v>4</v>
          </cell>
          <cell r="D222">
            <v>4</v>
          </cell>
          <cell r="E222">
            <v>4</v>
          </cell>
          <cell r="F222">
            <v>4</v>
          </cell>
          <cell r="G222">
            <v>4</v>
          </cell>
          <cell r="H222">
            <v>4</v>
          </cell>
          <cell r="I222">
            <v>4</v>
          </cell>
          <cell r="J222">
            <v>4</v>
          </cell>
          <cell r="K222">
            <v>4</v>
          </cell>
          <cell r="L222">
            <v>4</v>
          </cell>
          <cell r="M222">
            <v>4</v>
          </cell>
          <cell r="N222">
            <v>4</v>
          </cell>
          <cell r="O222">
            <v>4</v>
          </cell>
          <cell r="P222">
            <v>4</v>
          </cell>
          <cell r="Q222">
            <v>4</v>
          </cell>
          <cell r="R222">
            <v>4</v>
          </cell>
          <cell r="S222">
            <v>4</v>
          </cell>
        </row>
        <row r="223">
          <cell r="B223" t="str">
            <v xml:space="preserve"> 4.N.K</v>
          </cell>
          <cell r="C223">
            <v>4</v>
          </cell>
          <cell r="D223">
            <v>4</v>
          </cell>
          <cell r="E223">
            <v>4</v>
          </cell>
          <cell r="F223">
            <v>4</v>
          </cell>
          <cell r="G223">
            <v>4</v>
          </cell>
          <cell r="H223">
            <v>4</v>
          </cell>
          <cell r="I223">
            <v>4</v>
          </cell>
          <cell r="J223">
            <v>4</v>
          </cell>
          <cell r="K223">
            <v>4</v>
          </cell>
          <cell r="L223">
            <v>4</v>
          </cell>
          <cell r="M223">
            <v>4</v>
          </cell>
          <cell r="N223">
            <v>4</v>
          </cell>
          <cell r="O223">
            <v>4</v>
          </cell>
          <cell r="P223">
            <v>4</v>
          </cell>
          <cell r="Q223">
            <v>4</v>
          </cell>
          <cell r="R223">
            <v>4</v>
          </cell>
        </row>
        <row r="224">
          <cell r="B224" t="str">
            <v xml:space="preserve"> 5.N.K</v>
          </cell>
          <cell r="C224">
            <v>4</v>
          </cell>
          <cell r="D224">
            <v>4</v>
          </cell>
          <cell r="E224">
            <v>4</v>
          </cell>
          <cell r="F224">
            <v>4</v>
          </cell>
          <cell r="G224">
            <v>4</v>
          </cell>
          <cell r="H224">
            <v>4</v>
          </cell>
          <cell r="I224">
            <v>4</v>
          </cell>
          <cell r="J224">
            <v>4</v>
          </cell>
          <cell r="K224">
            <v>4</v>
          </cell>
          <cell r="L224">
            <v>4</v>
          </cell>
          <cell r="M224">
            <v>4</v>
          </cell>
          <cell r="N224">
            <v>4</v>
          </cell>
          <cell r="O224">
            <v>4</v>
          </cell>
          <cell r="P224">
            <v>4</v>
          </cell>
          <cell r="Q224">
            <v>4</v>
          </cell>
          <cell r="R224">
            <v>4</v>
          </cell>
        </row>
        <row r="225">
          <cell r="B225" t="str">
            <v xml:space="preserve"> 6.N.K</v>
          </cell>
          <cell r="F225">
            <v>4</v>
          </cell>
          <cell r="G225">
            <v>4</v>
          </cell>
          <cell r="H225">
            <v>4</v>
          </cell>
          <cell r="I225">
            <v>4</v>
          </cell>
          <cell r="J225">
            <v>4</v>
          </cell>
          <cell r="K225">
            <v>4</v>
          </cell>
          <cell r="L225">
            <v>4</v>
          </cell>
          <cell r="M225">
            <v>4</v>
          </cell>
          <cell r="N225">
            <v>4</v>
          </cell>
          <cell r="O225">
            <v>4</v>
          </cell>
          <cell r="P225">
            <v>4</v>
          </cell>
          <cell r="Q225">
            <v>4</v>
          </cell>
          <cell r="R225">
            <v>4</v>
          </cell>
        </row>
        <row r="226">
          <cell r="B226" t="str">
            <v xml:space="preserve"> 7.N.K</v>
          </cell>
          <cell r="F226">
            <v>4</v>
          </cell>
          <cell r="G226">
            <v>4</v>
          </cell>
          <cell r="H226">
            <v>4</v>
          </cell>
          <cell r="I226">
            <v>4</v>
          </cell>
          <cell r="J226">
            <v>4</v>
          </cell>
          <cell r="K226">
            <v>4</v>
          </cell>
          <cell r="L226">
            <v>4</v>
          </cell>
          <cell r="M226">
            <v>4</v>
          </cell>
          <cell r="N226">
            <v>4</v>
          </cell>
          <cell r="O226">
            <v>4</v>
          </cell>
          <cell r="P226">
            <v>4</v>
          </cell>
          <cell r="Q226">
            <v>4</v>
          </cell>
          <cell r="R226">
            <v>4</v>
          </cell>
        </row>
        <row r="227">
          <cell r="B227" t="str">
            <v xml:space="preserve"> 8.N.K</v>
          </cell>
          <cell r="G227">
            <v>4</v>
          </cell>
          <cell r="H227">
            <v>4</v>
          </cell>
          <cell r="K227">
            <v>0</v>
          </cell>
          <cell r="M227">
            <v>4</v>
          </cell>
          <cell r="N227">
            <v>4</v>
          </cell>
          <cell r="O227">
            <v>4</v>
          </cell>
          <cell r="P227">
            <v>4</v>
          </cell>
          <cell r="Q227">
            <v>4</v>
          </cell>
          <cell r="R227">
            <v>4</v>
          </cell>
        </row>
        <row r="228">
          <cell r="B228" t="str">
            <v xml:space="preserve"> 9.N.K</v>
          </cell>
          <cell r="K228">
            <v>0</v>
          </cell>
          <cell r="L228">
            <v>0</v>
          </cell>
          <cell r="M228">
            <v>4</v>
          </cell>
          <cell r="N228">
            <v>4</v>
          </cell>
          <cell r="O228">
            <v>4</v>
          </cell>
          <cell r="P228">
            <v>4</v>
          </cell>
          <cell r="Q228">
            <v>4</v>
          </cell>
          <cell r="R228">
            <v>4</v>
          </cell>
        </row>
        <row r="229">
          <cell r="B229" t="str">
            <v>TOPLAM</v>
          </cell>
          <cell r="C229">
            <v>24</v>
          </cell>
          <cell r="D229">
            <v>24</v>
          </cell>
          <cell r="E229">
            <v>24</v>
          </cell>
          <cell r="F229">
            <v>32</v>
          </cell>
          <cell r="G229">
            <v>36</v>
          </cell>
          <cell r="H229">
            <v>36</v>
          </cell>
          <cell r="I229">
            <v>32</v>
          </cell>
          <cell r="J229">
            <v>32</v>
          </cell>
          <cell r="K229">
            <v>32</v>
          </cell>
          <cell r="L229">
            <v>32</v>
          </cell>
          <cell r="M229">
            <v>40</v>
          </cell>
          <cell r="N229">
            <v>40</v>
          </cell>
          <cell r="O229">
            <v>40</v>
          </cell>
          <cell r="P229">
            <v>40</v>
          </cell>
          <cell r="Q229">
            <v>40</v>
          </cell>
          <cell r="R229">
            <v>40</v>
          </cell>
          <cell r="S229">
            <v>16</v>
          </cell>
        </row>
        <row r="230">
          <cell r="L230" t="str">
            <v xml:space="preserve">A-) İMAL EDİLMİŞ TOPLAM DAİRE </v>
          </cell>
          <cell r="Q230">
            <v>560</v>
          </cell>
        </row>
        <row r="231">
          <cell r="L231" t="str">
            <v>B-) BİR DAİRE MİKTARI(Kğ)</v>
          </cell>
          <cell r="Q231">
            <v>196.60714285714286</v>
          </cell>
        </row>
        <row r="232">
          <cell r="L232" t="str">
            <v>C-) TOPLAM ERİTİLECEK MİKTAR</v>
          </cell>
          <cell r="Q232">
            <v>110100</v>
          </cell>
        </row>
        <row r="236">
          <cell r="D236" t="str">
            <v>MÜTEAHHİT</v>
          </cell>
          <cell r="P236" t="str">
            <v>KONT. MÜH.</v>
          </cell>
        </row>
        <row r="238">
          <cell r="D238" t="str">
            <v>BİAT İNŞAAT SANAYİİ</v>
          </cell>
          <cell r="P238" t="str">
            <v>CELİL YAĞMUROĞLU</v>
          </cell>
        </row>
        <row r="239">
          <cell r="D239" t="str">
            <v>VE TİCARET A. Ş.</v>
          </cell>
          <cell r="P239" t="str">
            <v>YÜK.MİMAR</v>
          </cell>
        </row>
      </sheetData>
      <sheetData sheetId="3" refreshError="1">
        <row r="4">
          <cell r="D4" t="str">
            <v>HAKEDİŞ DOSYASI FİHRİSTİ</v>
          </cell>
        </row>
        <row r="7">
          <cell r="D7" t="str">
            <v>1-) Hakediş raporu</v>
          </cell>
        </row>
        <row r="9">
          <cell r="D9" t="str">
            <v>2-) İnşaat faliyet raporu</v>
          </cell>
        </row>
        <row r="11">
          <cell r="D11" t="str">
            <v>3-) İmalat fiziki gerçekleşme grafiği</v>
          </cell>
        </row>
        <row r="16">
          <cell r="D16" t="str">
            <v>4-) İmalat ve ihzarat ödeme grafiği</v>
          </cell>
        </row>
        <row r="18">
          <cell r="D18" t="str">
            <v>5-) İmalat keşif özeti</v>
          </cell>
        </row>
        <row r="20">
          <cell r="D20" t="str">
            <v>6-) İmalat seviye tablosu icmali</v>
          </cell>
        </row>
        <row r="22">
          <cell r="D22" t="str">
            <v>7-) İmalat seviye tabloları</v>
          </cell>
        </row>
        <row r="24">
          <cell r="D24" t="str">
            <v>8-) İhzarat icmali</v>
          </cell>
        </row>
        <row r="26">
          <cell r="D26" t="str">
            <v>9-) İhzarat teslim ( yedd-i emin ) tutatnağı</v>
          </cell>
        </row>
        <row r="28">
          <cell r="D28" t="str">
            <v>10-) İnşaat ve tesisat ihzaratı tabloları</v>
          </cell>
        </row>
        <row r="32">
          <cell r="D32" t="str">
            <v>11-) İşçi alacağı olmadığını gösterir ilan</v>
          </cell>
        </row>
        <row r="34">
          <cell r="D34" t="str">
            <v>12-) İşçi alacağı olmadığını gösterir tutanak</v>
          </cell>
        </row>
        <row r="38">
          <cell r="D38" t="str">
            <v>13-) Yer teslim  tutanağı</v>
          </cell>
        </row>
        <row r="40">
          <cell r="D40" t="str">
            <v>14-) All risk sigorta poliçesi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makro"/>
      <sheetName val="kapak"/>
      <sheetName val="Taah"/>
      <sheetName val="Hak Rap"/>
      <sheetName val="İcmal"/>
      <sheetName val="İmKeşÖz"/>
      <sheetName val="Yeşil1"/>
      <sheetName val="Yeşil2"/>
      <sheetName val="naklıye1"/>
      <sheetName val="nakliye2"/>
      <sheetName val="F.Fark.İc."/>
      <sheetName val="Çim Ent."/>
      <sheetName val="ÇimFiy.Far"/>
      <sheetName val="nak ak hes"/>
      <sheetName val="NakEnt."/>
      <sheetName val="NakAkF.Fark"/>
      <sheetName val="HAK2"/>
      <sheetName val="Ak160074"/>
      <sheetName val="İmal.Ak.Hes"/>
      <sheetName val="İmal.Ak.Ent"/>
      <sheetName val="İm.Ak.F.Fark.Hes"/>
      <sheetName val="İLAN "/>
      <sheetName val="Sayfa22"/>
      <sheetName val="Sayfa23"/>
      <sheetName val="Sayfa24"/>
      <sheetName val="Sayfa25"/>
      <sheetName val="Sayfa26"/>
      <sheetName val="Sayfa27"/>
      <sheetName val="Sayfa28"/>
      <sheetName val="Sayfa29"/>
      <sheetName val="Sayfa30"/>
      <sheetName val="Sayfa31"/>
      <sheetName val="Sayfa32"/>
      <sheetName val="Sayfa33"/>
      <sheetName val="Sayfa34"/>
    </sheetNames>
    <sheetDataSet>
      <sheetData sheetId="0" refreshError="1"/>
      <sheetData sheetId="1" refreshError="1">
        <row r="3">
          <cell r="B3" t="str">
            <v>İKİTELLİ KONUTLARI 2. ETAP ORTAK ALTYAPI ve YOL İNŞAATI</v>
          </cell>
        </row>
        <row r="6">
          <cell r="B6" t="str">
            <v>BERK TEKNİK YAPI LTD. ŞTİ.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formül"/>
      <sheetName val="Sayfa1"/>
      <sheetName val="Genel Bilgiler"/>
      <sheetName val="HAK.KAPAK"/>
      <sheetName val="TAHAKKUK"/>
      <sheetName val="HAK.RAP.OZET"/>
      <sheetName val="ICMAL"/>
      <sheetName val="KESIN TEMINAT"/>
      <sheetName val="FF.KES.TEM"/>
      <sheetName val="AVANS KES."/>
      <sheetName val="KARARNAME F.F.İCMALİ"/>
      <sheetName val="G.BEDEL ESKALASYON"/>
      <sheetName val="G. DOLUM GÖTÜRÜ"/>
      <sheetName val="İMALAT KEŞİF ÖZET"/>
      <sheetName val="SEVİYE İCMAL"/>
      <sheetName val="FARK SEVİYE"/>
      <sheetName val="A1 BLOK"/>
      <sheetName val="A2 BLOK"/>
      <sheetName val="A3 BLOK"/>
      <sheetName val="A4 BLOK"/>
      <sheetName val="IHZ ICMAL"/>
      <sheetName val="INS.IHZ"/>
      <sheetName val="İNŞ. IHZ.TUT"/>
      <sheetName val="MÜŞ.TES.İHZARAT"/>
      <sheetName val="MÜŞ.TES.TUT"/>
      <sheetName val="D.GAZ İHZARAT"/>
      <sheetName val="D.GAZ IHZ.TUT"/>
      <sheetName val="VİTRİFİYE İHZARAT"/>
      <sheetName val="VİT.TES.TUT"/>
      <sheetName val="ELEKT. İHZARATI"/>
      <sheetName val="ELEKT.TES.TUT"/>
      <sheetName val="ASANSÖR İHZARAT"/>
      <sheetName val="ASANSÖR.TES.TUT"/>
      <sheetName val="3CM MERMER ERİTME"/>
      <sheetName val="2CM MERMER ERİTME"/>
      <sheetName val="SERAMİK ERİTME WC"/>
      <sheetName val="FAYANS ERİTME MUTFAK+WC"/>
      <sheetName val="FFİCMAL"/>
      <sheetName val="ILAN"/>
      <sheetName val="I.TUT"/>
      <sheetName val="RAPOR"/>
      <sheetName val="GRAFIK"/>
      <sheetName val="GRAFIK 1"/>
      <sheetName val="KLASÖR YAZISI"/>
      <sheetName val="1Modül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ÖRNEK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METRAJ SAYFASI"/>
      <sheetName val="Ön Kapak"/>
      <sheetName val="YD1"/>
      <sheetName val="Hakediş"/>
      <sheetName val="Arka Kapa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zet"/>
      <sheetName val="sıhhi"/>
      <sheetName val="ısıtma-klima"/>
      <sheetName val="havalandırma"/>
      <sheetName val="yangın"/>
      <sheetName val="otomasyon"/>
      <sheetName val="GENEL"/>
      <sheetName val="ISTDUV_K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abmc@qatar.net.qa" TargetMode="External"/><Relationship Id="rId1" Type="http://schemas.openxmlformats.org/officeDocument/2006/relationships/hyperlink" Target="mailto:qatar@rarbmd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44"/>
  <sheetViews>
    <sheetView showGridLines="0" view="pageBreakPreview" topLeftCell="A21" zoomScale="130" zoomScaleSheetLayoutView="130" workbookViewId="0">
      <selection activeCell="F27" sqref="F27"/>
    </sheetView>
  </sheetViews>
  <sheetFormatPr defaultColWidth="8" defaultRowHeight="15" customHeight="1"/>
  <cols>
    <col min="1" max="4" width="10.140625" style="1019" customWidth="1"/>
    <col min="5" max="5" width="10.140625" style="1020" customWidth="1"/>
    <col min="6" max="7" width="6.7109375" style="1019" customWidth="1"/>
    <col min="8" max="8" width="10" style="1019" bestFit="1" customWidth="1"/>
    <col min="9" max="9" width="6.7109375" style="1019" customWidth="1"/>
    <col min="10" max="10" width="6.5703125" style="1019" customWidth="1"/>
    <col min="11" max="11" width="12.85546875" style="1019" customWidth="1"/>
    <col min="12" max="12" width="10.140625" style="1019" customWidth="1"/>
    <col min="13" max="13" width="11.85546875" style="1019" customWidth="1"/>
    <col min="14" max="16384" width="8" style="1019"/>
  </cols>
  <sheetData>
    <row r="1" spans="1:13" s="955" customFormat="1" ht="15" customHeight="1">
      <c r="A1" s="1194" t="s">
        <v>627</v>
      </c>
      <c r="B1" s="1195"/>
      <c r="C1" s="1195"/>
      <c r="D1" s="1195"/>
      <c r="E1" s="1195"/>
      <c r="F1" s="1195"/>
      <c r="G1" s="1195"/>
      <c r="H1" s="1195"/>
      <c r="I1" s="1195"/>
      <c r="J1" s="1196"/>
      <c r="K1" s="1197"/>
      <c r="L1" s="1198"/>
      <c r="M1" s="954"/>
    </row>
    <row r="2" spans="1:13" s="955" customFormat="1" ht="15" customHeight="1">
      <c r="A2" s="1199" t="s">
        <v>628</v>
      </c>
      <c r="B2" s="1200"/>
      <c r="C2" s="1200"/>
      <c r="D2" s="1200"/>
      <c r="E2" s="1200"/>
      <c r="F2" s="1200"/>
      <c r="G2" s="1200"/>
      <c r="H2" s="1200"/>
      <c r="I2" s="1200"/>
      <c r="J2" s="1201"/>
      <c r="K2" s="1202"/>
      <c r="L2" s="1203"/>
      <c r="M2" s="956"/>
    </row>
    <row r="3" spans="1:13" s="955" customFormat="1" ht="15" customHeight="1">
      <c r="A3" s="1204"/>
      <c r="B3" s="1205"/>
      <c r="C3" s="1205"/>
      <c r="D3" s="1205"/>
      <c r="E3" s="1205"/>
      <c r="F3" s="1205"/>
      <c r="G3" s="1205"/>
      <c r="H3" s="1205"/>
      <c r="I3" s="1205"/>
      <c r="J3" s="1206"/>
      <c r="K3" s="1207" t="s">
        <v>629</v>
      </c>
      <c r="L3" s="1208"/>
      <c r="M3" s="957"/>
    </row>
    <row r="4" spans="1:13" s="955" customFormat="1" ht="15" customHeight="1">
      <c r="A4" s="1218"/>
      <c r="B4" s="1219"/>
      <c r="C4" s="1220"/>
      <c r="D4" s="1221"/>
      <c r="E4" s="1221"/>
      <c r="F4" s="1221"/>
      <c r="G4" s="1221"/>
      <c r="H4" s="1221"/>
      <c r="I4" s="1221"/>
      <c r="J4" s="1221"/>
      <c r="K4" s="1221"/>
      <c r="L4" s="1222"/>
      <c r="M4" s="958"/>
    </row>
    <row r="5" spans="1:13" s="955" customFormat="1" ht="15" customHeight="1">
      <c r="A5" s="1237"/>
      <c r="B5" s="1238"/>
      <c r="C5" s="1239"/>
      <c r="D5" s="1240"/>
      <c r="E5" s="1240"/>
      <c r="F5" s="1240"/>
      <c r="G5" s="1240"/>
      <c r="H5" s="1240"/>
      <c r="I5" s="1240"/>
      <c r="J5" s="1240"/>
      <c r="K5" s="1240"/>
      <c r="L5" s="1241"/>
      <c r="M5" s="959"/>
    </row>
    <row r="6" spans="1:13" s="955" customFormat="1" ht="15" customHeight="1">
      <c r="A6" s="1242" t="s">
        <v>630</v>
      </c>
      <c r="B6" s="1243"/>
      <c r="C6" s="1243"/>
      <c r="D6" s="1243"/>
      <c r="E6" s="1244"/>
      <c r="F6" s="1248" t="s">
        <v>631</v>
      </c>
      <c r="G6" s="1249"/>
      <c r="H6" s="1249"/>
      <c r="I6" s="1249"/>
      <c r="J6" s="1250"/>
      <c r="K6" s="1251" t="s">
        <v>632</v>
      </c>
      <c r="L6" s="1252"/>
      <c r="M6" s="1253"/>
    </row>
    <row r="7" spans="1:13" s="955" customFormat="1" ht="15" customHeight="1">
      <c r="A7" s="1245"/>
      <c r="B7" s="1246"/>
      <c r="C7" s="1246"/>
      <c r="D7" s="1246"/>
      <c r="E7" s="1247"/>
      <c r="F7" s="960" t="s">
        <v>633</v>
      </c>
      <c r="G7" s="961" t="s">
        <v>634</v>
      </c>
      <c r="H7" s="961" t="s">
        <v>368</v>
      </c>
      <c r="I7" s="962" t="s">
        <v>635</v>
      </c>
      <c r="J7" s="963" t="s">
        <v>636</v>
      </c>
      <c r="K7" s="964" t="s">
        <v>637</v>
      </c>
      <c r="L7" s="962" t="s">
        <v>638</v>
      </c>
      <c r="M7" s="965" t="s">
        <v>298</v>
      </c>
    </row>
    <row r="8" spans="1:13" s="977" customFormat="1" ht="17.100000000000001" customHeight="1">
      <c r="A8" s="966" t="s">
        <v>639</v>
      </c>
      <c r="B8" s="967"/>
      <c r="C8" s="967"/>
      <c r="D8" s="968"/>
      <c r="E8" s="969"/>
      <c r="F8" s="970"/>
      <c r="G8" s="971"/>
      <c r="H8" s="972"/>
      <c r="I8" s="972"/>
      <c r="J8" s="973"/>
      <c r="K8" s="974"/>
      <c r="L8" s="975"/>
      <c r="M8" s="976"/>
    </row>
    <row r="9" spans="1:13" s="977" customFormat="1" ht="17.100000000000001" customHeight="1">
      <c r="A9" s="978" t="s">
        <v>640</v>
      </c>
      <c r="B9" s="978"/>
      <c r="C9" s="978"/>
      <c r="D9" s="979"/>
      <c r="E9" s="980"/>
      <c r="F9" s="981">
        <v>6</v>
      </c>
      <c r="G9" s="982" t="s">
        <v>287</v>
      </c>
      <c r="H9" s="983">
        <f>332</f>
        <v>332</v>
      </c>
      <c r="I9" s="983"/>
      <c r="J9" s="984"/>
      <c r="K9" s="985">
        <f>IF(F9&gt;0,PRODUCT(F9:J9),0)</f>
        <v>1992</v>
      </c>
      <c r="L9" s="986">
        <f>IF(F9&lt;0,PRODUCT(F9:J9),0)</f>
        <v>0</v>
      </c>
      <c r="M9" s="987"/>
    </row>
    <row r="10" spans="1:13" s="977" customFormat="1" ht="17.100000000000001" customHeight="1">
      <c r="A10" s="978" t="s">
        <v>641</v>
      </c>
      <c r="B10" s="978"/>
      <c r="C10" s="978"/>
      <c r="D10" s="979"/>
      <c r="E10" s="980"/>
      <c r="F10" s="981">
        <v>3</v>
      </c>
      <c r="G10" s="982" t="s">
        <v>287</v>
      </c>
      <c r="H10" s="983">
        <v>167</v>
      </c>
      <c r="I10" s="983"/>
      <c r="J10" s="984"/>
      <c r="K10" s="985">
        <f>IF(F10&gt;0,PRODUCT(F10:J10),0)</f>
        <v>501</v>
      </c>
      <c r="L10" s="986">
        <f>IF(F10&lt;0,PRODUCT(F10:J10),0)</f>
        <v>0</v>
      </c>
      <c r="M10" s="987">
        <f>SUM(K9:L10)</f>
        <v>2493</v>
      </c>
    </row>
    <row r="11" spans="1:13" s="977" customFormat="1" ht="17.100000000000001" customHeight="1">
      <c r="A11" s="966" t="s">
        <v>642</v>
      </c>
      <c r="B11" s="967"/>
      <c r="C11" s="967"/>
      <c r="D11" s="968"/>
      <c r="E11" s="969"/>
      <c r="F11" s="970"/>
      <c r="G11" s="971"/>
      <c r="H11" s="972"/>
      <c r="I11" s="972"/>
      <c r="J11" s="973"/>
      <c r="K11" s="974"/>
      <c r="L11" s="975"/>
      <c r="M11" s="976"/>
    </row>
    <row r="12" spans="1:13" s="977" customFormat="1" ht="17.100000000000001" customHeight="1">
      <c r="A12" s="978" t="s">
        <v>643</v>
      </c>
      <c r="B12" s="978"/>
      <c r="C12" s="978"/>
      <c r="D12" s="979"/>
      <c r="E12" s="980"/>
      <c r="F12" s="981">
        <v>1</v>
      </c>
      <c r="G12" s="982" t="s">
        <v>287</v>
      </c>
      <c r="H12" s="983">
        <f>332*6+167*3</f>
        <v>2493</v>
      </c>
      <c r="I12" s="983"/>
      <c r="J12" s="984"/>
      <c r="K12" s="985">
        <f>IF(F12&gt;0,PRODUCT(F12:J12),0)</f>
        <v>2493</v>
      </c>
      <c r="L12" s="986">
        <f>IF(F12&lt;0,PRODUCT(F12:J12),0)</f>
        <v>0</v>
      </c>
      <c r="M12" s="987">
        <f>SUM(K12:L12)</f>
        <v>2493</v>
      </c>
    </row>
    <row r="13" spans="1:13" s="977" customFormat="1" ht="17.100000000000001" customHeight="1">
      <c r="A13" s="978" t="s">
        <v>644</v>
      </c>
      <c r="B13" s="978"/>
      <c r="C13" s="978"/>
      <c r="D13" s="979"/>
      <c r="E13" s="980"/>
      <c r="F13" s="981">
        <v>1</v>
      </c>
      <c r="G13" s="982" t="s">
        <v>305</v>
      </c>
      <c r="H13" s="983">
        <f>87*6+56*3</f>
        <v>690</v>
      </c>
      <c r="I13" s="983"/>
      <c r="J13" s="984"/>
      <c r="K13" s="985">
        <f>IF(F13&gt;0,PRODUCT(F13:J13),0)</f>
        <v>690</v>
      </c>
      <c r="L13" s="986">
        <f>IF(F13&lt;0,PRODUCT(F13:J13),0)</f>
        <v>0</v>
      </c>
      <c r="M13" s="987">
        <f>SUM(K13:L13)</f>
        <v>690</v>
      </c>
    </row>
    <row r="14" spans="1:13" s="977" customFormat="1" ht="17.100000000000001" customHeight="1">
      <c r="A14" s="988" t="s">
        <v>645</v>
      </c>
      <c r="B14" s="967"/>
      <c r="C14" s="967"/>
      <c r="D14" s="968"/>
      <c r="E14" s="969"/>
      <c r="F14" s="970"/>
      <c r="G14" s="971"/>
      <c r="H14" s="972"/>
      <c r="I14" s="972"/>
      <c r="J14" s="973"/>
      <c r="K14" s="974"/>
      <c r="L14" s="975"/>
      <c r="M14" s="976"/>
    </row>
    <row r="15" spans="1:13" s="977" customFormat="1" ht="17.100000000000001" customHeight="1">
      <c r="A15" s="978" t="s">
        <v>643</v>
      </c>
      <c r="B15" s="978"/>
      <c r="C15" s="978"/>
      <c r="D15" s="979"/>
      <c r="E15" s="980"/>
      <c r="F15" s="981">
        <v>1</v>
      </c>
      <c r="G15" s="982" t="s">
        <v>287</v>
      </c>
      <c r="H15" s="983">
        <f>K12</f>
        <v>2493</v>
      </c>
      <c r="I15" s="983"/>
      <c r="J15" s="984"/>
      <c r="K15" s="985"/>
      <c r="L15" s="986"/>
      <c r="M15" s="987">
        <f>SUM(H15:L15)</f>
        <v>2493</v>
      </c>
    </row>
    <row r="16" spans="1:13" s="977" customFormat="1" ht="17.100000000000001" customHeight="1">
      <c r="A16" s="988" t="s">
        <v>646</v>
      </c>
      <c r="B16" s="967"/>
      <c r="C16" s="967"/>
      <c r="D16" s="968"/>
      <c r="E16" s="969"/>
      <c r="F16" s="970"/>
      <c r="G16" s="971"/>
      <c r="H16" s="972"/>
      <c r="I16" s="972"/>
      <c r="J16" s="973"/>
      <c r="K16" s="974"/>
      <c r="L16" s="975"/>
      <c r="M16" s="976"/>
    </row>
    <row r="17" spans="1:13" s="977" customFormat="1" ht="17.100000000000001" customHeight="1">
      <c r="A17" s="989" t="s">
        <v>647</v>
      </c>
      <c r="B17" s="978"/>
      <c r="C17" s="978"/>
      <c r="D17" s="979"/>
      <c r="E17" s="980"/>
      <c r="F17" s="981"/>
      <c r="G17" s="982" t="s">
        <v>285</v>
      </c>
      <c r="H17" s="983">
        <v>50</v>
      </c>
      <c r="I17" s="983"/>
      <c r="J17" s="984"/>
      <c r="K17" s="985"/>
      <c r="L17" s="986"/>
      <c r="M17" s="987">
        <f>SUM(H17:L17)</f>
        <v>50</v>
      </c>
    </row>
    <row r="18" spans="1:13" s="977" customFormat="1" ht="17.100000000000001" customHeight="1">
      <c r="A18" s="990" t="s">
        <v>648</v>
      </c>
      <c r="B18" s="978"/>
      <c r="C18" s="978"/>
      <c r="D18" s="979"/>
      <c r="E18" s="980"/>
      <c r="F18" s="981"/>
      <c r="G18" s="982" t="s">
        <v>285</v>
      </c>
      <c r="H18" s="983">
        <v>577</v>
      </c>
      <c r="I18" s="983"/>
      <c r="J18" s="984"/>
      <c r="K18" s="985"/>
      <c r="L18" s="986"/>
      <c r="M18" s="987"/>
    </row>
    <row r="19" spans="1:13" s="977" customFormat="1" ht="17.100000000000001" customHeight="1">
      <c r="A19" s="990" t="s">
        <v>649</v>
      </c>
      <c r="B19" s="978"/>
      <c r="C19" s="978"/>
      <c r="D19" s="979"/>
      <c r="E19" s="980"/>
      <c r="F19" s="981"/>
      <c r="G19" s="982" t="s">
        <v>285</v>
      </c>
      <c r="H19" s="983">
        <v>608</v>
      </c>
      <c r="I19" s="983"/>
      <c r="J19" s="984"/>
      <c r="K19" s="985"/>
      <c r="L19" s="986"/>
      <c r="M19" s="987"/>
    </row>
    <row r="20" spans="1:13" s="977" customFormat="1" ht="17.100000000000001" customHeight="1">
      <c r="A20" s="990"/>
      <c r="B20" s="978"/>
      <c r="C20" s="978"/>
      <c r="D20" s="979"/>
      <c r="E20" s="980"/>
      <c r="F20" s="981"/>
      <c r="G20" s="982"/>
      <c r="H20" s="983"/>
      <c r="I20" s="983"/>
      <c r="J20" s="984"/>
      <c r="K20" s="985"/>
      <c r="L20" s="986"/>
      <c r="M20" s="987">
        <f>SUM(H18:H20)</f>
        <v>1185</v>
      </c>
    </row>
    <row r="21" spans="1:13" s="977" customFormat="1" ht="17.100000000000001" customHeight="1">
      <c r="A21" s="988" t="s">
        <v>650</v>
      </c>
      <c r="B21" s="967"/>
      <c r="C21" s="967"/>
      <c r="D21" s="968"/>
      <c r="E21" s="969"/>
      <c r="F21" s="970"/>
      <c r="G21" s="971"/>
      <c r="H21" s="972"/>
      <c r="I21" s="972"/>
      <c r="J21" s="973"/>
      <c r="K21" s="974"/>
      <c r="L21" s="975"/>
      <c r="M21" s="976"/>
    </row>
    <row r="22" spans="1:13" s="977" customFormat="1" ht="17.100000000000001" customHeight="1">
      <c r="A22" s="989" t="s">
        <v>651</v>
      </c>
      <c r="B22" s="978"/>
      <c r="C22" s="978"/>
      <c r="D22" s="979"/>
      <c r="E22" s="980"/>
      <c r="F22" s="981"/>
      <c r="G22" s="982" t="s">
        <v>287</v>
      </c>
      <c r="H22" s="983">
        <v>2044</v>
      </c>
      <c r="I22" s="983"/>
      <c r="J22" s="984"/>
      <c r="K22" s="985"/>
      <c r="L22" s="986"/>
      <c r="M22" s="987"/>
    </row>
    <row r="23" spans="1:13" s="977" customFormat="1" ht="17.100000000000001" customHeight="1">
      <c r="A23" s="989" t="s">
        <v>652</v>
      </c>
      <c r="B23" s="978"/>
      <c r="C23" s="978"/>
      <c r="D23" s="979"/>
      <c r="E23" s="980"/>
      <c r="F23" s="981"/>
      <c r="G23" s="982" t="s">
        <v>287</v>
      </c>
      <c r="H23" s="983">
        <v>4666</v>
      </c>
      <c r="I23" s="983"/>
      <c r="J23" s="984"/>
      <c r="K23" s="985"/>
      <c r="L23" s="986"/>
      <c r="M23" s="987"/>
    </row>
    <row r="24" spans="1:13" s="977" customFormat="1" ht="17.100000000000001" customHeight="1">
      <c r="A24" s="990"/>
      <c r="B24" s="978"/>
      <c r="C24" s="978"/>
      <c r="D24" s="979"/>
      <c r="E24" s="980"/>
      <c r="F24" s="981"/>
      <c r="G24" s="982"/>
      <c r="H24" s="983"/>
      <c r="I24" s="983"/>
      <c r="J24" s="984"/>
      <c r="K24" s="985"/>
      <c r="L24" s="986"/>
      <c r="M24" s="987">
        <f>SUM(H22:H23)</f>
        <v>6710</v>
      </c>
    </row>
    <row r="25" spans="1:13" s="977" customFormat="1" ht="17.100000000000001" customHeight="1" thickBot="1">
      <c r="A25" s="991" t="s">
        <v>653</v>
      </c>
      <c r="B25" s="992"/>
      <c r="C25" s="992"/>
      <c r="D25" s="993"/>
      <c r="E25" s="994"/>
      <c r="F25" s="995"/>
      <c r="G25" s="996"/>
      <c r="H25" s="997"/>
      <c r="I25" s="997"/>
      <c r="J25" s="998"/>
      <c r="K25" s="999"/>
      <c r="L25" s="1000"/>
      <c r="M25" s="1001"/>
    </row>
    <row r="26" spans="1:13" s="977" customFormat="1" ht="17.100000000000001" customHeight="1">
      <c r="A26" s="990" t="s">
        <v>662</v>
      </c>
      <c r="B26" s="1002"/>
      <c r="C26" s="1002"/>
      <c r="D26" s="1003"/>
      <c r="E26" s="1004"/>
      <c r="F26" s="1005">
        <f>8072*15</f>
        <v>121080</v>
      </c>
      <c r="G26" s="1006" t="s">
        <v>289</v>
      </c>
      <c r="H26" s="1007"/>
      <c r="I26" s="1007"/>
      <c r="J26" s="1008"/>
      <c r="K26" s="1009"/>
      <c r="L26" s="1010"/>
      <c r="M26" s="1011"/>
    </row>
    <row r="27" spans="1:13" s="977" customFormat="1" ht="17.100000000000001" customHeight="1">
      <c r="A27" s="990" t="s">
        <v>663</v>
      </c>
      <c r="B27" s="978"/>
      <c r="C27" s="978"/>
      <c r="D27" s="979"/>
      <c r="E27" s="980"/>
      <c r="F27" s="981">
        <f>2.22*1493</f>
        <v>3314.4600000000005</v>
      </c>
      <c r="G27" s="982" t="s">
        <v>289</v>
      </c>
      <c r="H27" s="983"/>
      <c r="I27" s="983"/>
      <c r="J27" s="984"/>
      <c r="K27" s="985"/>
      <c r="L27" s="986"/>
      <c r="M27" s="987"/>
    </row>
    <row r="28" spans="1:13" s="977" customFormat="1" ht="17.100000000000001" customHeight="1">
      <c r="A28" s="990"/>
      <c r="B28" s="978"/>
      <c r="C28" s="978"/>
      <c r="D28" s="979"/>
      <c r="E28" s="980"/>
      <c r="F28" s="981"/>
      <c r="G28" s="982"/>
      <c r="H28" s="983"/>
      <c r="I28" s="983"/>
      <c r="J28" s="984"/>
      <c r="K28" s="985"/>
      <c r="L28" s="986"/>
      <c r="M28" s="987">
        <f>SUM(F26:F27)</f>
        <v>124394.46</v>
      </c>
    </row>
    <row r="29" spans="1:13" s="977" customFormat="1" ht="17.100000000000001" customHeight="1">
      <c r="A29" s="988" t="s">
        <v>654</v>
      </c>
      <c r="B29" s="967"/>
      <c r="C29" s="967"/>
      <c r="D29" s="968"/>
      <c r="E29" s="969"/>
      <c r="F29" s="970"/>
      <c r="G29" s="971"/>
      <c r="H29" s="972"/>
      <c r="I29" s="972"/>
      <c r="J29" s="973"/>
      <c r="K29" s="974"/>
      <c r="L29" s="975"/>
      <c r="M29" s="976"/>
    </row>
    <row r="30" spans="1:13" s="977" customFormat="1" ht="17.100000000000001" customHeight="1">
      <c r="A30" s="990" t="s">
        <v>655</v>
      </c>
      <c r="B30" s="978"/>
      <c r="C30" s="978"/>
      <c r="D30" s="979"/>
      <c r="E30" s="980"/>
      <c r="F30" s="981"/>
      <c r="G30" s="982" t="s">
        <v>656</v>
      </c>
      <c r="H30" s="983">
        <f>M28/M20</f>
        <v>104.97422784810126</v>
      </c>
      <c r="I30" s="983"/>
      <c r="J30" s="984"/>
      <c r="K30" s="985"/>
      <c r="L30" s="986"/>
      <c r="M30" s="987"/>
    </row>
    <row r="31" spans="1:13" s="977" customFormat="1" ht="17.100000000000001" customHeight="1">
      <c r="A31" s="990"/>
      <c r="B31" s="978"/>
      <c r="C31" s="978"/>
      <c r="D31" s="979"/>
      <c r="E31" s="980"/>
      <c r="F31" s="981"/>
      <c r="G31" s="982"/>
      <c r="H31" s="983"/>
      <c r="I31" s="983"/>
      <c r="J31" s="984"/>
      <c r="K31" s="985"/>
      <c r="L31" s="986"/>
      <c r="M31" s="987"/>
    </row>
    <row r="32" spans="1:13" s="977" customFormat="1" ht="17.100000000000001" customHeight="1">
      <c r="A32" s="990"/>
      <c r="B32" s="978"/>
      <c r="C32" s="978"/>
      <c r="D32" s="979"/>
      <c r="E32" s="980"/>
      <c r="F32" s="981"/>
      <c r="G32" s="982"/>
      <c r="H32" s="983"/>
      <c r="I32" s="983"/>
      <c r="J32" s="984"/>
      <c r="K32" s="985"/>
      <c r="L32" s="986"/>
      <c r="M32" s="987"/>
    </row>
    <row r="33" spans="1:13" s="977" customFormat="1" ht="17.100000000000001" customHeight="1">
      <c r="A33" s="990"/>
      <c r="B33" s="978"/>
      <c r="C33" s="978"/>
      <c r="D33" s="979"/>
      <c r="E33" s="980"/>
      <c r="F33" s="981"/>
      <c r="G33" s="982"/>
      <c r="H33" s="983"/>
      <c r="I33" s="983"/>
      <c r="J33" s="984"/>
      <c r="K33" s="985"/>
      <c r="L33" s="986"/>
      <c r="M33" s="987"/>
    </row>
    <row r="34" spans="1:13" s="977" customFormat="1" ht="17.100000000000001" customHeight="1">
      <c r="A34" s="990"/>
      <c r="B34" s="978"/>
      <c r="C34" s="978"/>
      <c r="D34" s="979"/>
      <c r="E34" s="980"/>
      <c r="F34" s="981"/>
      <c r="G34" s="982"/>
      <c r="H34" s="983"/>
      <c r="I34" s="983"/>
      <c r="J34" s="984"/>
      <c r="K34" s="985"/>
      <c r="L34" s="986"/>
      <c r="M34" s="987"/>
    </row>
    <row r="35" spans="1:13" s="977" customFormat="1" ht="17.100000000000001" customHeight="1">
      <c r="A35" s="990"/>
      <c r="B35" s="978"/>
      <c r="C35" s="978"/>
      <c r="D35" s="979"/>
      <c r="E35" s="980"/>
      <c r="F35" s="981"/>
      <c r="G35" s="982"/>
      <c r="H35" s="983"/>
      <c r="I35" s="983"/>
      <c r="J35" s="984"/>
      <c r="K35" s="985"/>
      <c r="L35" s="986"/>
      <c r="M35" s="987"/>
    </row>
    <row r="36" spans="1:13" s="977" customFormat="1" ht="17.100000000000001" customHeight="1">
      <c r="A36" s="990"/>
      <c r="B36" s="978"/>
      <c r="C36" s="978"/>
      <c r="D36" s="979"/>
      <c r="E36" s="980"/>
      <c r="F36" s="981"/>
      <c r="G36" s="982"/>
      <c r="H36" s="983"/>
      <c r="I36" s="983"/>
      <c r="J36" s="984"/>
      <c r="K36" s="985"/>
      <c r="L36" s="986"/>
      <c r="M36" s="987"/>
    </row>
    <row r="37" spans="1:13" s="977" customFormat="1" ht="17.100000000000001" customHeight="1">
      <c r="A37" s="990"/>
      <c r="B37" s="978"/>
      <c r="C37" s="978"/>
      <c r="D37" s="979"/>
      <c r="E37" s="980"/>
      <c r="F37" s="981"/>
      <c r="G37" s="982"/>
      <c r="H37" s="983"/>
      <c r="I37" s="983"/>
      <c r="J37" s="984"/>
      <c r="K37" s="985"/>
      <c r="L37" s="986"/>
      <c r="M37" s="987"/>
    </row>
    <row r="38" spans="1:13" s="977" customFormat="1" ht="17.100000000000001" customHeight="1">
      <c r="A38" s="990"/>
      <c r="B38" s="978"/>
      <c r="C38" s="978"/>
      <c r="D38" s="979"/>
      <c r="E38" s="980"/>
      <c r="F38" s="981"/>
      <c r="G38" s="982"/>
      <c r="H38" s="983"/>
      <c r="I38" s="983"/>
      <c r="J38" s="984"/>
      <c r="K38" s="985"/>
      <c r="L38" s="986"/>
      <c r="M38" s="987"/>
    </row>
    <row r="39" spans="1:13" s="977" customFormat="1" ht="17.100000000000001" customHeight="1">
      <c r="A39" s="990"/>
      <c r="B39" s="978"/>
      <c r="C39" s="978"/>
      <c r="D39" s="979"/>
      <c r="E39" s="980"/>
      <c r="F39" s="981"/>
      <c r="G39" s="982"/>
      <c r="H39" s="983"/>
      <c r="I39" s="983"/>
      <c r="J39" s="984"/>
      <c r="K39" s="985"/>
      <c r="L39" s="986"/>
      <c r="M39" s="987"/>
    </row>
    <row r="40" spans="1:13" s="977" customFormat="1" ht="17.100000000000001" customHeight="1">
      <c r="A40" s="1012"/>
      <c r="B40" s="978"/>
      <c r="C40" s="978"/>
      <c r="D40" s="979"/>
      <c r="E40" s="980"/>
      <c r="F40" s="981"/>
      <c r="G40" s="982"/>
      <c r="H40" s="983"/>
      <c r="I40" s="983"/>
      <c r="J40" s="984"/>
      <c r="K40" s="985"/>
      <c r="L40" s="986"/>
      <c r="M40" s="987"/>
    </row>
    <row r="41" spans="1:13" s="955" customFormat="1" ht="15" customHeight="1">
      <c r="A41" s="1223" t="s">
        <v>657</v>
      </c>
      <c r="B41" s="1224"/>
      <c r="C41" s="1224"/>
      <c r="D41" s="1224"/>
      <c r="E41" s="1224"/>
      <c r="F41" s="1224"/>
      <c r="G41" s="1224"/>
      <c r="H41" s="1224"/>
      <c r="I41" s="1224"/>
      <c r="J41" s="1225"/>
      <c r="K41" s="1013"/>
      <c r="L41" s="1014"/>
      <c r="M41" s="1015"/>
    </row>
    <row r="42" spans="1:13" s="955" customFormat="1" ht="15" customHeight="1">
      <c r="A42" s="1226" t="s">
        <v>658</v>
      </c>
      <c r="B42" s="1227"/>
      <c r="C42" s="1227"/>
      <c r="D42" s="1227"/>
      <c r="E42" s="1227"/>
      <c r="F42" s="1227"/>
      <c r="G42" s="1227"/>
      <c r="H42" s="1227"/>
      <c r="I42" s="1227"/>
      <c r="J42" s="1228"/>
      <c r="K42" s="1016"/>
      <c r="L42" s="1017"/>
      <c r="M42" s="1018"/>
    </row>
    <row r="43" spans="1:13" s="955" customFormat="1" ht="18.95" customHeight="1">
      <c r="A43" s="1229" t="s">
        <v>659</v>
      </c>
      <c r="B43" s="1230"/>
      <c r="C43" s="1230"/>
      <c r="D43" s="1231"/>
      <c r="E43" s="1232" t="s">
        <v>660</v>
      </c>
      <c r="F43" s="1233"/>
      <c r="G43" s="1233"/>
      <c r="H43" s="1233"/>
      <c r="I43" s="1234"/>
      <c r="J43" s="1235" t="s">
        <v>661</v>
      </c>
      <c r="K43" s="1230"/>
      <c r="L43" s="1230"/>
      <c r="M43" s="1236"/>
    </row>
    <row r="44" spans="1:13" s="955" customFormat="1" ht="90.95" customHeight="1" thickBot="1">
      <c r="A44" s="1209"/>
      <c r="B44" s="1210"/>
      <c r="C44" s="1210"/>
      <c r="D44" s="1211"/>
      <c r="E44" s="1212"/>
      <c r="F44" s="1213"/>
      <c r="G44" s="1213"/>
      <c r="H44" s="1213"/>
      <c r="I44" s="1214"/>
      <c r="J44" s="1215"/>
      <c r="K44" s="1216"/>
      <c r="L44" s="1216"/>
      <c r="M44" s="1217"/>
    </row>
  </sheetData>
  <mergeCells count="21">
    <mergeCell ref="A44:D44"/>
    <mergeCell ref="E44:I44"/>
    <mergeCell ref="J44:M44"/>
    <mergeCell ref="A4:B4"/>
    <mergeCell ref="C4:L4"/>
    <mergeCell ref="A41:J41"/>
    <mergeCell ref="A42:J42"/>
    <mergeCell ref="A43:D43"/>
    <mergeCell ref="E43:I43"/>
    <mergeCell ref="J43:M43"/>
    <mergeCell ref="A5:B5"/>
    <mergeCell ref="C5:L5"/>
    <mergeCell ref="A6:E7"/>
    <mergeCell ref="F6:J6"/>
    <mergeCell ref="K6:M6"/>
    <mergeCell ref="A1:J1"/>
    <mergeCell ref="K1:L1"/>
    <mergeCell ref="A2:J2"/>
    <mergeCell ref="K2:L2"/>
    <mergeCell ref="A3:J3"/>
    <mergeCell ref="K3:L3"/>
  </mergeCells>
  <printOptions horizontalCentered="1" verticalCentered="1"/>
  <pageMargins left="0.78740157480314965" right="0" top="0" bottom="0" header="0" footer="0"/>
  <pageSetup paperSize="9" scale="63" orientation="portrait" horizontalDpi="4294967294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B383"/>
  <sheetViews>
    <sheetView topLeftCell="A82" zoomScale="85" zoomScaleNormal="85" workbookViewId="0">
      <selection activeCell="C379" sqref="C379"/>
    </sheetView>
  </sheetViews>
  <sheetFormatPr defaultColWidth="9.140625" defaultRowHeight="15"/>
  <cols>
    <col min="1" max="1" width="49.140625" style="161" customWidth="1"/>
    <col min="2" max="2" width="61.42578125" style="163" customWidth="1"/>
    <col min="3" max="3" width="18.7109375" style="163" customWidth="1"/>
    <col min="4" max="4" width="12.140625" style="163" customWidth="1"/>
    <col min="5" max="5" width="9.28515625" style="163" customWidth="1"/>
    <col min="6" max="6" width="12.28515625" style="163" customWidth="1"/>
    <col min="7" max="7" width="9.140625" style="163"/>
    <col min="8" max="8" width="10.7109375" style="163" customWidth="1"/>
    <col min="9" max="13" width="9.140625" style="163"/>
    <col min="14" max="14" width="21.28515625" style="163" customWidth="1"/>
    <col min="15" max="15" width="12" style="163" customWidth="1"/>
    <col min="16" max="16" width="14.5703125" style="163" bestFit="1" customWidth="1"/>
    <col min="17" max="17" width="9.140625" style="163"/>
    <col min="18" max="18" width="13.28515625" style="163" customWidth="1"/>
    <col min="19" max="16384" width="9.140625" style="163"/>
  </cols>
  <sheetData>
    <row r="3" spans="1:11">
      <c r="A3" s="161">
        <v>1</v>
      </c>
      <c r="B3" s="162" t="s">
        <v>335</v>
      </c>
    </row>
    <row r="5" spans="1:11">
      <c r="B5" s="1373" t="s">
        <v>336</v>
      </c>
      <c r="C5" s="1374"/>
      <c r="D5" s="1374"/>
      <c r="E5" s="1374"/>
      <c r="F5" s="1374"/>
      <c r="G5" s="1374"/>
      <c r="H5" s="1374"/>
      <c r="I5" s="1374"/>
      <c r="J5" s="1374"/>
      <c r="K5" s="1374"/>
    </row>
    <row r="6" spans="1:11" ht="15.75" thickBot="1"/>
    <row r="7" spans="1:11">
      <c r="B7" s="1363" t="s">
        <v>0</v>
      </c>
      <c r="C7" s="1365" t="s">
        <v>337</v>
      </c>
      <c r="D7" s="1348" t="s">
        <v>444</v>
      </c>
      <c r="E7" s="1348" t="s">
        <v>338</v>
      </c>
      <c r="F7" s="1346" t="s">
        <v>339</v>
      </c>
      <c r="G7" s="1346"/>
      <c r="H7" s="1346"/>
      <c r="I7" s="1346" t="s">
        <v>98</v>
      </c>
      <c r="J7" s="1346" t="s">
        <v>340</v>
      </c>
      <c r="K7" s="1375" t="s">
        <v>341</v>
      </c>
    </row>
    <row r="8" spans="1:11">
      <c r="B8" s="1364"/>
      <c r="C8" s="1366"/>
      <c r="D8" s="1349"/>
      <c r="E8" s="1349"/>
      <c r="F8" s="164" t="s">
        <v>302</v>
      </c>
      <c r="G8" s="164" t="s">
        <v>303</v>
      </c>
      <c r="H8" s="164" t="s">
        <v>342</v>
      </c>
      <c r="I8" s="1347"/>
      <c r="J8" s="1347"/>
      <c r="K8" s="1376"/>
    </row>
    <row r="9" spans="1:11">
      <c r="B9" s="165" t="s">
        <v>343</v>
      </c>
      <c r="C9" s="166">
        <v>1</v>
      </c>
      <c r="D9" s="166">
        <v>10</v>
      </c>
      <c r="E9" s="166"/>
      <c r="F9" s="166">
        <v>29.5</v>
      </c>
      <c r="G9" s="166">
        <v>16</v>
      </c>
      <c r="H9" s="166">
        <v>1.2</v>
      </c>
      <c r="I9" s="167">
        <f>C9*D9*F9*G9*H9</f>
        <v>5664</v>
      </c>
      <c r="J9" s="167">
        <f>I9/H9</f>
        <v>4720</v>
      </c>
      <c r="K9" s="168"/>
    </row>
    <row r="10" spans="1:11">
      <c r="B10" s="165" t="s">
        <v>344</v>
      </c>
      <c r="C10" s="166"/>
      <c r="D10" s="166"/>
      <c r="E10" s="166"/>
      <c r="F10" s="166"/>
      <c r="G10" s="166"/>
      <c r="H10" s="166"/>
      <c r="I10" s="167"/>
      <c r="J10" s="167"/>
      <c r="K10" s="168"/>
    </row>
    <row r="11" spans="1:11">
      <c r="B11" s="165" t="s">
        <v>6</v>
      </c>
      <c r="C11" s="166">
        <v>1</v>
      </c>
      <c r="D11" s="166">
        <v>10</v>
      </c>
      <c r="E11" s="166"/>
      <c r="F11" s="166">
        <v>25.5</v>
      </c>
      <c r="G11" s="166">
        <v>12</v>
      </c>
      <c r="H11" s="166"/>
      <c r="I11" s="167"/>
      <c r="J11" s="167">
        <f>C11*D11*F11*G11</f>
        <v>3060</v>
      </c>
      <c r="K11" s="168"/>
    </row>
    <row r="12" spans="1:11">
      <c r="B12" s="1342" t="s">
        <v>110</v>
      </c>
      <c r="C12" s="1343"/>
      <c r="D12" s="1343"/>
      <c r="E12" s="1343"/>
      <c r="F12" s="169"/>
      <c r="G12" s="169"/>
      <c r="H12" s="169"/>
      <c r="I12" s="170">
        <f>SUM(I9:I11)</f>
        <v>5664</v>
      </c>
      <c r="J12" s="170"/>
      <c r="K12" s="171"/>
    </row>
    <row r="13" spans="1:11">
      <c r="B13" s="1342" t="s">
        <v>345</v>
      </c>
      <c r="C13" s="1343"/>
      <c r="D13" s="1343"/>
      <c r="E13" s="1343"/>
      <c r="F13" s="169"/>
      <c r="G13" s="169"/>
      <c r="H13" s="169"/>
      <c r="I13" s="170"/>
      <c r="J13" s="170">
        <f>J11*0.05</f>
        <v>153</v>
      </c>
      <c r="K13" s="171"/>
    </row>
    <row r="14" spans="1:11" ht="15.75" thickBot="1">
      <c r="B14" s="1344" t="s">
        <v>346</v>
      </c>
      <c r="C14" s="1345"/>
      <c r="D14" s="1345"/>
      <c r="E14" s="1345"/>
      <c r="F14" s="172"/>
      <c r="G14" s="172"/>
      <c r="H14" s="172"/>
      <c r="I14" s="173">
        <f>SUM(I12:I13)</f>
        <v>5664</v>
      </c>
      <c r="J14" s="173">
        <f>SUM(J11:J13)</f>
        <v>3213</v>
      </c>
      <c r="K14" s="174"/>
    </row>
    <row r="15" spans="1:11" ht="15.75" thickBot="1"/>
    <row r="16" spans="1:11" ht="15.75" thickBot="1">
      <c r="B16" s="193" t="s">
        <v>437</v>
      </c>
      <c r="C16" s="177">
        <f>I14</f>
        <v>5664</v>
      </c>
    </row>
    <row r="19" spans="1:13">
      <c r="A19" s="161">
        <v>2</v>
      </c>
      <c r="B19" s="162" t="s">
        <v>347</v>
      </c>
    </row>
    <row r="20" spans="1:13" ht="15.75" thickBot="1"/>
    <row r="21" spans="1:13" ht="15.75" thickBot="1">
      <c r="B21" s="175" t="s">
        <v>348</v>
      </c>
      <c r="C21" s="176" t="s">
        <v>99</v>
      </c>
      <c r="D21" s="177">
        <f>J14</f>
        <v>3213</v>
      </c>
    </row>
    <row r="23" spans="1:13">
      <c r="A23" s="161">
        <v>3</v>
      </c>
      <c r="B23" s="178" t="s">
        <v>349</v>
      </c>
    </row>
    <row r="25" spans="1:13">
      <c r="B25" s="1361" t="s">
        <v>350</v>
      </c>
      <c r="C25" s="1362"/>
      <c r="D25" s="1362"/>
      <c r="E25" s="1362"/>
      <c r="F25" s="1362"/>
      <c r="G25" s="1362"/>
      <c r="H25" s="1362"/>
      <c r="I25" s="1362"/>
      <c r="J25" s="1362"/>
      <c r="K25" s="1362"/>
    </row>
    <row r="26" spans="1:13" ht="15.75" thickBot="1"/>
    <row r="27" spans="1:13" ht="20.25" customHeight="1">
      <c r="B27" s="1363" t="s">
        <v>100</v>
      </c>
      <c r="C27" s="1365" t="s">
        <v>337</v>
      </c>
      <c r="D27" s="1348" t="s">
        <v>444</v>
      </c>
      <c r="E27" s="1348" t="s">
        <v>338</v>
      </c>
      <c r="F27" s="1346" t="s">
        <v>339</v>
      </c>
      <c r="G27" s="1346"/>
      <c r="H27" s="1346"/>
      <c r="I27" s="1346" t="s">
        <v>98</v>
      </c>
      <c r="J27" s="1346" t="s">
        <v>340</v>
      </c>
      <c r="K27" s="1375" t="s">
        <v>341</v>
      </c>
      <c r="L27" s="179"/>
      <c r="M27" s="180"/>
    </row>
    <row r="28" spans="1:13">
      <c r="B28" s="1364"/>
      <c r="C28" s="1366"/>
      <c r="D28" s="1349"/>
      <c r="E28" s="1349"/>
      <c r="F28" s="164" t="s">
        <v>302</v>
      </c>
      <c r="G28" s="164" t="s">
        <v>303</v>
      </c>
      <c r="H28" s="164" t="s">
        <v>352</v>
      </c>
      <c r="I28" s="1347"/>
      <c r="J28" s="1347"/>
      <c r="K28" s="1376"/>
      <c r="L28" s="179"/>
      <c r="M28" s="180"/>
    </row>
    <row r="29" spans="1:13">
      <c r="B29" s="165" t="s">
        <v>353</v>
      </c>
      <c r="C29" s="166">
        <v>1</v>
      </c>
      <c r="D29" s="166">
        <v>10</v>
      </c>
      <c r="E29" s="166">
        <v>5</v>
      </c>
      <c r="F29" s="166">
        <v>1.4</v>
      </c>
      <c r="G29" s="166">
        <v>1.7</v>
      </c>
      <c r="H29" s="166">
        <v>0.1</v>
      </c>
      <c r="I29" s="167">
        <f>C29*D29*E29*F29*G29*H29</f>
        <v>11.9</v>
      </c>
      <c r="J29" s="167">
        <f>I29/H29</f>
        <v>119</v>
      </c>
      <c r="K29" s="168">
        <f>C29*D29*E29*H29*2*(F29+G29)</f>
        <v>30.999999999999996</v>
      </c>
      <c r="L29" s="181"/>
      <c r="M29" s="181"/>
    </row>
    <row r="30" spans="1:13">
      <c r="B30" s="165" t="s">
        <v>354</v>
      </c>
      <c r="C30" s="166">
        <v>1</v>
      </c>
      <c r="D30" s="166">
        <v>10</v>
      </c>
      <c r="E30" s="166">
        <v>12</v>
      </c>
      <c r="F30" s="166">
        <v>1.7</v>
      </c>
      <c r="G30" s="166">
        <v>2</v>
      </c>
      <c r="H30" s="166">
        <v>0.1</v>
      </c>
      <c r="I30" s="167">
        <f>C30*D30*E30*F30*G30*H30</f>
        <v>40.800000000000004</v>
      </c>
      <c r="J30" s="167">
        <f>I30/H30</f>
        <v>408</v>
      </c>
      <c r="K30" s="168">
        <f>C30*D30*E30*H30*2*(F30+G30)</f>
        <v>88.800000000000011</v>
      </c>
      <c r="L30" s="181"/>
      <c r="M30" s="181"/>
    </row>
    <row r="31" spans="1:13">
      <c r="B31" s="165" t="s">
        <v>355</v>
      </c>
      <c r="C31" s="166">
        <v>1</v>
      </c>
      <c r="D31" s="166">
        <v>10</v>
      </c>
      <c r="E31" s="166">
        <v>12</v>
      </c>
      <c r="F31" s="166">
        <v>1.8</v>
      </c>
      <c r="G31" s="166">
        <v>2.2000000000000002</v>
      </c>
      <c r="H31" s="166">
        <v>0.1</v>
      </c>
      <c r="I31" s="167">
        <f>C31*D31*E31*F31*G31*H31</f>
        <v>47.52000000000001</v>
      </c>
      <c r="J31" s="167">
        <f>I31/H31</f>
        <v>475.2000000000001</v>
      </c>
      <c r="K31" s="168">
        <f>C31*D31*E31*H31*2*(F31+G31)</f>
        <v>96</v>
      </c>
      <c r="L31" s="181"/>
      <c r="M31" s="181"/>
    </row>
    <row r="32" spans="1:13">
      <c r="B32" s="165" t="s">
        <v>356</v>
      </c>
      <c r="C32" s="166"/>
      <c r="D32" s="166"/>
      <c r="E32" s="166"/>
      <c r="F32" s="166"/>
      <c r="G32" s="166"/>
      <c r="H32" s="166"/>
      <c r="I32" s="167"/>
      <c r="J32" s="167"/>
      <c r="K32" s="168"/>
      <c r="L32" s="181"/>
      <c r="M32" s="181"/>
    </row>
    <row r="33" spans="1:23">
      <c r="B33" s="165" t="s">
        <v>357</v>
      </c>
      <c r="C33" s="166"/>
      <c r="D33" s="166"/>
      <c r="E33" s="166"/>
      <c r="F33" s="166"/>
      <c r="G33" s="166"/>
      <c r="H33" s="166"/>
      <c r="I33" s="167"/>
      <c r="J33" s="167"/>
      <c r="K33" s="168"/>
      <c r="L33" s="181"/>
      <c r="M33" s="181"/>
    </row>
    <row r="34" spans="1:23">
      <c r="B34" s="165" t="s">
        <v>358</v>
      </c>
      <c r="C34" s="166"/>
      <c r="D34" s="166"/>
      <c r="E34" s="166"/>
      <c r="F34" s="166"/>
      <c r="G34" s="166"/>
      <c r="H34" s="166"/>
      <c r="I34" s="167"/>
      <c r="J34" s="167"/>
      <c r="K34" s="168"/>
      <c r="L34" s="181"/>
      <c r="M34" s="181"/>
    </row>
    <row r="35" spans="1:23">
      <c r="B35" s="1342" t="s">
        <v>110</v>
      </c>
      <c r="C35" s="1343"/>
      <c r="D35" s="1343"/>
      <c r="E35" s="1343"/>
      <c r="F35" s="169"/>
      <c r="G35" s="169"/>
      <c r="H35" s="169"/>
      <c r="I35" s="170">
        <f>SUM(I29:I34)</f>
        <v>100.22000000000001</v>
      </c>
      <c r="J35" s="170">
        <f>SUM(J29:J34)</f>
        <v>1002.2</v>
      </c>
      <c r="K35" s="171">
        <f>SUM(K29:K34)</f>
        <v>215.8</v>
      </c>
      <c r="L35" s="182"/>
      <c r="M35" s="182"/>
    </row>
    <row r="36" spans="1:23">
      <c r="B36" s="1342" t="s">
        <v>359</v>
      </c>
      <c r="C36" s="1343"/>
      <c r="D36" s="1343"/>
      <c r="E36" s="1343"/>
      <c r="F36" s="169"/>
      <c r="G36" s="169"/>
      <c r="H36" s="169"/>
      <c r="I36" s="170">
        <f>I35*0.1</f>
        <v>10.022000000000002</v>
      </c>
      <c r="J36" s="170">
        <f>J35*0.1</f>
        <v>100.22000000000001</v>
      </c>
      <c r="K36" s="171">
        <f>K35*0.1</f>
        <v>21.580000000000002</v>
      </c>
      <c r="L36" s="182"/>
      <c r="M36" s="182"/>
    </row>
    <row r="37" spans="1:23" ht="15.75" thickBot="1">
      <c r="B37" s="1344" t="s">
        <v>346</v>
      </c>
      <c r="C37" s="1345"/>
      <c r="D37" s="1345"/>
      <c r="E37" s="1345"/>
      <c r="F37" s="172"/>
      <c r="G37" s="172"/>
      <c r="H37" s="172"/>
      <c r="I37" s="173">
        <f>SUM(I35:I36)</f>
        <v>110.24200000000002</v>
      </c>
      <c r="J37" s="173">
        <f>SUM(J35:J36)</f>
        <v>1102.42</v>
      </c>
      <c r="K37" s="174">
        <f>SUM(K35:K36)</f>
        <v>237.38000000000002</v>
      </c>
      <c r="L37" s="182"/>
      <c r="M37" s="182"/>
    </row>
    <row r="38" spans="1:23" ht="15.75" thickBot="1">
      <c r="G38" s="183" t="s">
        <v>306</v>
      </c>
      <c r="H38" s="184"/>
      <c r="I38" s="184"/>
      <c r="J38" s="185">
        <f>K37</f>
        <v>237.38000000000002</v>
      </c>
      <c r="K38" s="186"/>
    </row>
    <row r="40" spans="1:23" s="189" customFormat="1">
      <c r="A40" s="187"/>
      <c r="B40" s="188"/>
      <c r="C40" s="188"/>
      <c r="D40" s="188"/>
      <c r="E40" s="188"/>
      <c r="G40" s="163"/>
      <c r="H40" s="163"/>
      <c r="I40" s="163"/>
      <c r="J40" s="163"/>
      <c r="K40" s="163"/>
      <c r="L40" s="190"/>
      <c r="M40" s="190"/>
      <c r="N40" s="188"/>
      <c r="O40" s="188"/>
      <c r="P40" s="188"/>
      <c r="Q40" s="188"/>
      <c r="R40" s="191"/>
      <c r="S40" s="191"/>
      <c r="T40" s="191"/>
      <c r="U40" s="190"/>
      <c r="V40" s="190"/>
      <c r="W40" s="190"/>
    </row>
    <row r="41" spans="1:23" s="189" customFormat="1">
      <c r="A41" s="187"/>
      <c r="B41" s="1361" t="s">
        <v>471</v>
      </c>
      <c r="C41" s="1362"/>
      <c r="D41" s="1362"/>
      <c r="E41" s="1362"/>
      <c r="F41" s="1362"/>
      <c r="G41" s="1362"/>
      <c r="H41" s="1362"/>
      <c r="I41" s="1362"/>
      <c r="J41" s="1362"/>
      <c r="K41" s="1362"/>
      <c r="L41" s="190"/>
      <c r="M41" s="190"/>
      <c r="N41" s="265"/>
      <c r="O41" s="265"/>
      <c r="P41" s="265"/>
      <c r="Q41" s="265"/>
      <c r="R41" s="191"/>
      <c r="S41" s="191"/>
      <c r="T41" s="191"/>
      <c r="U41" s="190"/>
      <c r="V41" s="190"/>
      <c r="W41" s="190"/>
    </row>
    <row r="42" spans="1:23" s="189" customFormat="1" ht="15.75" thickBot="1">
      <c r="A42" s="187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90"/>
      <c r="M42" s="190"/>
      <c r="N42" s="265"/>
      <c r="O42" s="265"/>
      <c r="P42" s="265"/>
      <c r="Q42" s="265"/>
      <c r="R42" s="191"/>
      <c r="S42" s="191"/>
      <c r="T42" s="191"/>
      <c r="U42" s="190"/>
      <c r="V42" s="190"/>
      <c r="W42" s="190"/>
    </row>
    <row r="43" spans="1:23" s="189" customFormat="1">
      <c r="A43" s="187"/>
      <c r="B43" s="1346" t="s">
        <v>100</v>
      </c>
      <c r="C43" s="1346" t="s">
        <v>337</v>
      </c>
      <c r="D43" s="1346" t="s">
        <v>351</v>
      </c>
      <c r="E43" s="1346" t="s">
        <v>338</v>
      </c>
      <c r="F43" s="1367" t="s">
        <v>339</v>
      </c>
      <c r="G43" s="1368"/>
      <c r="H43" s="1369"/>
      <c r="I43" s="1346" t="s">
        <v>98</v>
      </c>
      <c r="J43" s="1346" t="s">
        <v>340</v>
      </c>
      <c r="K43" s="1346" t="s">
        <v>341</v>
      </c>
      <c r="L43" s="190"/>
      <c r="M43" s="190"/>
      <c r="N43" s="265"/>
      <c r="O43" s="265"/>
      <c r="P43" s="265"/>
      <c r="Q43" s="265"/>
      <c r="R43" s="191"/>
      <c r="S43" s="191"/>
      <c r="T43" s="191"/>
      <c r="U43" s="190"/>
      <c r="V43" s="190"/>
      <c r="W43" s="190"/>
    </row>
    <row r="44" spans="1:23" s="189" customFormat="1">
      <c r="A44" s="187"/>
      <c r="B44" s="1347"/>
      <c r="C44" s="1347"/>
      <c r="D44" s="1347"/>
      <c r="E44" s="1347"/>
      <c r="F44" s="1370" t="s">
        <v>302</v>
      </c>
      <c r="G44" s="1371" t="s">
        <v>303</v>
      </c>
      <c r="H44" s="1372" t="s">
        <v>352</v>
      </c>
      <c r="I44" s="1347"/>
      <c r="J44" s="1347"/>
      <c r="K44" s="1347"/>
      <c r="L44" s="190"/>
      <c r="M44" s="190"/>
      <c r="N44" s="265"/>
      <c r="O44" s="265"/>
      <c r="P44" s="265"/>
      <c r="Q44" s="265"/>
      <c r="R44" s="191"/>
      <c r="S44" s="191"/>
      <c r="T44" s="191"/>
      <c r="U44" s="190"/>
      <c r="V44" s="190"/>
      <c r="W44" s="190"/>
    </row>
    <row r="45" spans="1:23" s="189" customFormat="1">
      <c r="A45" s="187"/>
      <c r="B45" s="165" t="s">
        <v>353</v>
      </c>
      <c r="C45" s="166">
        <v>1</v>
      </c>
      <c r="D45" s="166">
        <v>10</v>
      </c>
      <c r="E45" s="166">
        <v>5</v>
      </c>
      <c r="F45" s="166">
        <v>1.2</v>
      </c>
      <c r="G45" s="166">
        <v>1.5</v>
      </c>
      <c r="H45" s="166">
        <v>0.4</v>
      </c>
      <c r="I45" s="167">
        <f>C45*D45*E45*F45*G45*H45</f>
        <v>36</v>
      </c>
      <c r="J45" s="167">
        <f>I45/H45</f>
        <v>90</v>
      </c>
      <c r="K45" s="168">
        <f>C45*D45*E45*H45*2*(F45+G45)</f>
        <v>108</v>
      </c>
      <c r="L45" s="190"/>
      <c r="M45" s="190"/>
      <c r="N45" s="265"/>
      <c r="O45" s="265"/>
      <c r="P45" s="265"/>
      <c r="Q45" s="265"/>
      <c r="R45" s="191"/>
      <c r="S45" s="191"/>
      <c r="T45" s="191"/>
      <c r="U45" s="190"/>
      <c r="V45" s="190"/>
      <c r="W45" s="190"/>
    </row>
    <row r="46" spans="1:23" s="189" customFormat="1">
      <c r="A46" s="187"/>
      <c r="B46" s="165" t="s">
        <v>354</v>
      </c>
      <c r="C46" s="166">
        <v>1</v>
      </c>
      <c r="D46" s="166">
        <v>10</v>
      </c>
      <c r="E46" s="166">
        <v>12</v>
      </c>
      <c r="F46" s="166">
        <v>1.5</v>
      </c>
      <c r="G46" s="166">
        <v>1.8</v>
      </c>
      <c r="H46" s="166">
        <v>0.4</v>
      </c>
      <c r="I46" s="167">
        <f>C46*D46*E46*F46*G46*H46</f>
        <v>129.6</v>
      </c>
      <c r="J46" s="167">
        <f>I46/H46</f>
        <v>323.99999999999994</v>
      </c>
      <c r="K46" s="168">
        <f>C46*D46*E46*H46*2*(F46+G46)</f>
        <v>316.79999999999995</v>
      </c>
      <c r="L46" s="190"/>
      <c r="M46" s="190"/>
      <c r="N46" s="265"/>
      <c r="O46" s="265"/>
      <c r="P46" s="265"/>
      <c r="Q46" s="265"/>
      <c r="R46" s="191"/>
      <c r="S46" s="191"/>
      <c r="T46" s="191"/>
      <c r="U46" s="190"/>
      <c r="V46" s="190"/>
      <c r="W46" s="190"/>
    </row>
    <row r="47" spans="1:23" s="189" customFormat="1">
      <c r="A47" s="187"/>
      <c r="B47" s="165" t="s">
        <v>355</v>
      </c>
      <c r="C47" s="166">
        <v>1</v>
      </c>
      <c r="D47" s="166">
        <v>10</v>
      </c>
      <c r="E47" s="166">
        <v>12</v>
      </c>
      <c r="F47" s="166">
        <v>1.6</v>
      </c>
      <c r="G47" s="166">
        <v>2</v>
      </c>
      <c r="H47" s="166">
        <v>0.45</v>
      </c>
      <c r="I47" s="167">
        <f>C47*D47*E47*F47*G47*H47</f>
        <v>172.8</v>
      </c>
      <c r="J47" s="167">
        <f>I47/H47</f>
        <v>384</v>
      </c>
      <c r="K47" s="168">
        <f>C47*D47*E47*H47*2*(F47+G47)</f>
        <v>388.8</v>
      </c>
      <c r="L47" s="190"/>
      <c r="M47" s="190"/>
      <c r="N47" s="265"/>
      <c r="O47" s="265"/>
      <c r="P47" s="265"/>
      <c r="Q47" s="265"/>
      <c r="R47" s="191"/>
      <c r="S47" s="191"/>
      <c r="T47" s="191"/>
      <c r="U47" s="190"/>
      <c r="V47" s="190"/>
      <c r="W47" s="190"/>
    </row>
    <row r="48" spans="1:23" s="189" customFormat="1">
      <c r="A48" s="187"/>
      <c r="B48" s="165" t="s">
        <v>356</v>
      </c>
      <c r="C48" s="166"/>
      <c r="D48" s="166"/>
      <c r="E48" s="166"/>
      <c r="F48" s="166"/>
      <c r="G48" s="166"/>
      <c r="H48" s="166"/>
      <c r="I48" s="167"/>
      <c r="J48" s="167"/>
      <c r="K48" s="168"/>
      <c r="L48" s="190"/>
      <c r="M48" s="190"/>
      <c r="N48" s="265"/>
      <c r="O48" s="265"/>
      <c r="P48" s="265"/>
      <c r="Q48" s="265"/>
      <c r="R48" s="191"/>
      <c r="S48" s="191"/>
      <c r="T48" s="191"/>
      <c r="U48" s="190"/>
      <c r="V48" s="190"/>
      <c r="W48" s="190"/>
    </row>
    <row r="49" spans="1:23" s="189" customFormat="1">
      <c r="A49" s="187"/>
      <c r="B49" s="165" t="s">
        <v>357</v>
      </c>
      <c r="C49" s="166"/>
      <c r="D49" s="166"/>
      <c r="E49" s="166"/>
      <c r="F49" s="166"/>
      <c r="G49" s="166"/>
      <c r="H49" s="166"/>
      <c r="I49" s="167"/>
      <c r="J49" s="167"/>
      <c r="K49" s="168"/>
      <c r="L49" s="190"/>
      <c r="M49" s="190"/>
      <c r="N49" s="265"/>
      <c r="O49" s="265"/>
      <c r="P49" s="265"/>
      <c r="Q49" s="265"/>
      <c r="R49" s="191"/>
      <c r="S49" s="191"/>
      <c r="T49" s="191"/>
      <c r="U49" s="190"/>
      <c r="V49" s="190"/>
      <c r="W49" s="190"/>
    </row>
    <row r="50" spans="1:23" s="189" customFormat="1">
      <c r="A50" s="187"/>
      <c r="B50" s="165" t="s">
        <v>358</v>
      </c>
      <c r="C50" s="166"/>
      <c r="D50" s="166"/>
      <c r="E50" s="166"/>
      <c r="F50" s="166"/>
      <c r="G50" s="166"/>
      <c r="H50" s="166"/>
      <c r="I50" s="167"/>
      <c r="J50" s="167"/>
      <c r="K50" s="168"/>
      <c r="L50" s="190"/>
      <c r="M50" s="190"/>
      <c r="N50" s="265"/>
      <c r="O50" s="265"/>
      <c r="P50" s="265"/>
      <c r="Q50" s="265"/>
      <c r="R50" s="191"/>
      <c r="S50" s="191"/>
      <c r="T50" s="191"/>
      <c r="U50" s="190"/>
      <c r="V50" s="190"/>
      <c r="W50" s="190"/>
    </row>
    <row r="51" spans="1:23" s="189" customFormat="1">
      <c r="A51" s="187"/>
      <c r="B51" s="1342" t="s">
        <v>110</v>
      </c>
      <c r="C51" s="1343"/>
      <c r="D51" s="1343"/>
      <c r="E51" s="1343"/>
      <c r="F51" s="169"/>
      <c r="G51" s="169"/>
      <c r="H51" s="169"/>
      <c r="I51" s="170">
        <f>SUM(I45:I50)</f>
        <v>338.4</v>
      </c>
      <c r="J51" s="170">
        <f>SUM(J45:J50)</f>
        <v>798</v>
      </c>
      <c r="K51" s="171">
        <f>SUM(K45:K50)</f>
        <v>813.59999999999991</v>
      </c>
      <c r="L51" s="190"/>
      <c r="M51" s="190"/>
      <c r="N51" s="265"/>
      <c r="O51" s="265"/>
      <c r="P51" s="265"/>
      <c r="Q51" s="265"/>
      <c r="R51" s="191"/>
      <c r="S51" s="191"/>
      <c r="T51" s="191"/>
      <c r="U51" s="190"/>
      <c r="V51" s="190"/>
      <c r="W51" s="190"/>
    </row>
    <row r="52" spans="1:23" s="189" customFormat="1">
      <c r="A52" s="187"/>
      <c r="B52" s="1342" t="s">
        <v>345</v>
      </c>
      <c r="C52" s="1343"/>
      <c r="D52" s="1343"/>
      <c r="E52" s="1343"/>
      <c r="F52" s="169"/>
      <c r="G52" s="169"/>
      <c r="H52" s="169"/>
      <c r="I52" s="170">
        <f>I51*0.05</f>
        <v>16.919999999999998</v>
      </c>
      <c r="J52" s="170">
        <f>J51*0.05</f>
        <v>39.900000000000006</v>
      </c>
      <c r="K52" s="171">
        <f>K51*0.05</f>
        <v>40.68</v>
      </c>
      <c r="L52" s="190"/>
      <c r="M52" s="190"/>
      <c r="N52" s="265"/>
      <c r="O52" s="265"/>
      <c r="P52" s="265"/>
      <c r="Q52" s="265"/>
      <c r="R52" s="191"/>
      <c r="S52" s="191"/>
      <c r="T52" s="191"/>
      <c r="U52" s="190"/>
      <c r="V52" s="190"/>
      <c r="W52" s="190"/>
    </row>
    <row r="53" spans="1:23" s="189" customFormat="1" ht="15.75" thickBot="1">
      <c r="A53" s="187"/>
      <c r="B53" s="172" t="s">
        <v>346</v>
      </c>
      <c r="C53" s="172"/>
      <c r="D53" s="172"/>
      <c r="E53" s="172"/>
      <c r="F53" s="172"/>
      <c r="G53" s="172"/>
      <c r="H53" s="172"/>
      <c r="I53" s="172">
        <f>SUM(I51:I52)</f>
        <v>355.32</v>
      </c>
      <c r="J53" s="172">
        <f>SUM(J51:J52)</f>
        <v>837.9</v>
      </c>
      <c r="K53" s="172">
        <f>SUM(K51:K52)</f>
        <v>854.27999999999986</v>
      </c>
      <c r="L53" s="190"/>
      <c r="M53" s="190"/>
      <c r="N53" s="265"/>
      <c r="O53" s="265"/>
      <c r="P53" s="265"/>
      <c r="Q53" s="265"/>
      <c r="R53" s="191"/>
      <c r="S53" s="191"/>
      <c r="T53" s="191"/>
      <c r="U53" s="190"/>
      <c r="V53" s="190"/>
      <c r="W53" s="190"/>
    </row>
    <row r="54" spans="1:23" s="189" customFormat="1" ht="15.75" thickBot="1">
      <c r="A54" s="187"/>
      <c r="B54" s="163"/>
      <c r="C54" s="163"/>
      <c r="D54" s="163"/>
      <c r="E54" s="163"/>
      <c r="F54" s="163"/>
      <c r="G54" s="183" t="s">
        <v>306</v>
      </c>
      <c r="H54" s="184"/>
      <c r="I54" s="184"/>
      <c r="J54" s="185">
        <f>K53</f>
        <v>854.27999999999986</v>
      </c>
      <c r="K54" s="186"/>
      <c r="L54" s="190"/>
      <c r="M54" s="190"/>
      <c r="N54" s="265"/>
      <c r="O54" s="265"/>
      <c r="P54" s="265"/>
      <c r="Q54" s="265"/>
      <c r="R54" s="191"/>
      <c r="S54" s="191"/>
      <c r="T54" s="191"/>
      <c r="U54" s="190"/>
      <c r="V54" s="190"/>
      <c r="W54" s="190"/>
    </row>
    <row r="55" spans="1:23" s="189" customFormat="1">
      <c r="A55" s="187"/>
      <c r="B55" s="265"/>
      <c r="C55" s="265"/>
      <c r="D55" s="265"/>
      <c r="E55" s="265"/>
      <c r="G55" s="163"/>
      <c r="H55" s="163"/>
      <c r="I55" s="163"/>
      <c r="J55" s="163"/>
      <c r="K55" s="163"/>
      <c r="L55" s="190"/>
      <c r="M55" s="190"/>
      <c r="N55" s="265"/>
      <c r="O55" s="265"/>
      <c r="P55" s="265"/>
      <c r="Q55" s="265"/>
      <c r="R55" s="191"/>
      <c r="S55" s="191"/>
      <c r="T55" s="191"/>
      <c r="U55" s="190"/>
      <c r="V55" s="190"/>
      <c r="W55" s="190"/>
    </row>
    <row r="56" spans="1:23" ht="15.75" thickBot="1">
      <c r="N56" s="188"/>
      <c r="O56" s="188"/>
      <c r="P56" s="188"/>
      <c r="Q56" s="188"/>
      <c r="R56" s="191"/>
      <c r="S56" s="191"/>
      <c r="T56" s="191"/>
      <c r="U56" s="190"/>
      <c r="V56" s="190"/>
      <c r="W56" s="190"/>
    </row>
    <row r="57" spans="1:23" ht="16.5" thickBot="1">
      <c r="A57" s="192" t="s">
        <v>360</v>
      </c>
      <c r="B57" s="193" t="s">
        <v>361</v>
      </c>
      <c r="C57" s="177">
        <f>I37</f>
        <v>110.24200000000002</v>
      </c>
      <c r="P57" s="188"/>
      <c r="Q57" s="188"/>
      <c r="R57" s="191"/>
      <c r="S57" s="191"/>
      <c r="T57" s="191"/>
      <c r="U57" s="190"/>
      <c r="V57" s="190"/>
      <c r="W57" s="190"/>
    </row>
    <row r="58" spans="1:23" ht="16.5" thickBot="1">
      <c r="A58" s="192"/>
      <c r="N58" s="188"/>
      <c r="O58" s="188"/>
      <c r="P58" s="188"/>
      <c r="Q58" s="188"/>
      <c r="R58" s="191"/>
      <c r="S58" s="191"/>
      <c r="T58" s="191"/>
      <c r="U58" s="190"/>
      <c r="V58" s="190"/>
      <c r="W58" s="190"/>
    </row>
    <row r="59" spans="1:23" ht="16.5" thickBot="1">
      <c r="A59" s="192" t="s">
        <v>362</v>
      </c>
      <c r="B59" s="193" t="s">
        <v>363</v>
      </c>
      <c r="C59" s="177">
        <f>I53</f>
        <v>355.32</v>
      </c>
      <c r="N59" s="188"/>
      <c r="O59" s="188"/>
      <c r="P59" s="188"/>
      <c r="Q59" s="188"/>
      <c r="R59" s="191"/>
      <c r="S59" s="191"/>
      <c r="T59" s="191"/>
      <c r="U59" s="190"/>
      <c r="V59" s="190"/>
      <c r="W59" s="190"/>
    </row>
    <row r="60" spans="1:23" ht="16.5" thickBot="1">
      <c r="A60" s="194"/>
      <c r="B60" s="195"/>
      <c r="C60" s="182"/>
      <c r="N60" s="188"/>
      <c r="O60" s="188"/>
      <c r="P60" s="188"/>
      <c r="Q60" s="188"/>
      <c r="R60" s="191"/>
      <c r="S60" s="191"/>
      <c r="T60" s="191"/>
      <c r="U60" s="190"/>
      <c r="V60" s="190"/>
      <c r="W60" s="190"/>
    </row>
    <row r="61" spans="1:23" ht="16.5" thickBot="1">
      <c r="A61" s="192" t="s">
        <v>364</v>
      </c>
      <c r="B61" s="193" t="s">
        <v>365</v>
      </c>
      <c r="C61" s="177">
        <f>J38+J54</f>
        <v>1091.6599999999999</v>
      </c>
      <c r="N61" s="188"/>
      <c r="O61" s="188"/>
      <c r="P61" s="188"/>
      <c r="Q61" s="188"/>
      <c r="R61" s="191"/>
      <c r="S61" s="191"/>
      <c r="T61" s="191"/>
      <c r="U61" s="190"/>
      <c r="V61" s="190"/>
      <c r="W61" s="190"/>
    </row>
    <row r="62" spans="1:23" ht="15.75">
      <c r="A62" s="192"/>
      <c r="B62" s="195"/>
      <c r="C62" s="182"/>
      <c r="N62" s="188"/>
      <c r="O62" s="188"/>
      <c r="P62" s="188"/>
      <c r="Q62" s="188"/>
      <c r="R62" s="191"/>
      <c r="S62" s="191"/>
      <c r="T62" s="191"/>
      <c r="U62" s="190"/>
      <c r="V62" s="190"/>
      <c r="W62" s="190"/>
    </row>
    <row r="63" spans="1:23">
      <c r="A63" s="161">
        <v>4</v>
      </c>
      <c r="B63" s="178" t="s">
        <v>366</v>
      </c>
      <c r="N63" s="188"/>
      <c r="O63" s="188"/>
      <c r="P63" s="188"/>
      <c r="Q63" s="188"/>
      <c r="R63" s="191"/>
      <c r="S63" s="191"/>
      <c r="T63" s="191"/>
      <c r="U63" s="190"/>
      <c r="V63" s="190"/>
      <c r="W63" s="190"/>
    </row>
    <row r="64" spans="1:23">
      <c r="B64" s="178"/>
      <c r="G64" s="226"/>
      <c r="H64" s="226"/>
      <c r="I64" s="226"/>
      <c r="J64" s="226"/>
      <c r="K64" s="226"/>
      <c r="N64" s="188"/>
      <c r="O64" s="188"/>
      <c r="P64" s="188"/>
      <c r="Q64" s="188"/>
      <c r="R64" s="191"/>
      <c r="S64" s="226"/>
      <c r="T64" s="226"/>
      <c r="U64" s="226"/>
      <c r="V64" s="226"/>
      <c r="W64" s="226"/>
    </row>
    <row r="65" spans="1:13">
      <c r="B65" s="225" t="s">
        <v>448</v>
      </c>
      <c r="C65" s="226"/>
      <c r="D65" s="226"/>
      <c r="E65" s="226"/>
      <c r="F65" s="226"/>
    </row>
    <row r="66" spans="1:13" ht="15.75" thickBot="1"/>
    <row r="67" spans="1:13">
      <c r="B67" s="1350" t="s">
        <v>367</v>
      </c>
      <c r="C67" s="1352" t="s">
        <v>337</v>
      </c>
      <c r="D67" s="1348" t="s">
        <v>444</v>
      </c>
      <c r="E67" s="1354" t="s">
        <v>368</v>
      </c>
      <c r="F67" s="1359" t="s">
        <v>445</v>
      </c>
      <c r="G67" s="1360"/>
      <c r="H67" s="296" t="s">
        <v>482</v>
      </c>
      <c r="I67" s="1396" t="s">
        <v>446</v>
      </c>
      <c r="J67" s="1396" t="s">
        <v>98</v>
      </c>
      <c r="K67" s="1396" t="s">
        <v>99</v>
      </c>
      <c r="L67" s="1396" t="s">
        <v>483</v>
      </c>
      <c r="M67" s="180"/>
    </row>
    <row r="68" spans="1:13">
      <c r="B68" s="1351"/>
      <c r="C68" s="1353"/>
      <c r="D68" s="1349"/>
      <c r="E68" s="1355"/>
      <c r="F68" s="164" t="s">
        <v>303</v>
      </c>
      <c r="G68" s="164" t="s">
        <v>304</v>
      </c>
      <c r="H68" s="297"/>
      <c r="I68" s="1355"/>
      <c r="J68" s="1355"/>
      <c r="K68" s="1355"/>
      <c r="L68" s="1355"/>
      <c r="M68" s="180"/>
    </row>
    <row r="69" spans="1:13">
      <c r="B69" s="165" t="s">
        <v>370</v>
      </c>
      <c r="C69" s="166">
        <v>1</v>
      </c>
      <c r="D69" s="166">
        <v>10</v>
      </c>
      <c r="E69" s="166">
        <v>8.4</v>
      </c>
      <c r="F69" s="166">
        <v>0.2</v>
      </c>
      <c r="G69" s="166">
        <v>0.4</v>
      </c>
      <c r="H69" s="166">
        <v>3</v>
      </c>
      <c r="I69" s="166">
        <v>2</v>
      </c>
      <c r="J69" s="167">
        <f>C69*D69*E69*F69*G69</f>
        <v>6.7200000000000006</v>
      </c>
      <c r="K69" s="168">
        <f>C69*D69*E69*G69*I69</f>
        <v>67.2</v>
      </c>
      <c r="L69" s="168">
        <f>D69*E69*H69</f>
        <v>252</v>
      </c>
      <c r="M69" s="181"/>
    </row>
    <row r="70" spans="1:13">
      <c r="B70" s="165" t="s">
        <v>373</v>
      </c>
      <c r="C70" s="166">
        <v>1</v>
      </c>
      <c r="D70" s="166">
        <v>10</v>
      </c>
      <c r="E70" s="166">
        <v>51.1</v>
      </c>
      <c r="F70" s="166">
        <v>0.2</v>
      </c>
      <c r="G70" s="166">
        <v>0.6</v>
      </c>
      <c r="H70" s="166">
        <v>3</v>
      </c>
      <c r="I70" s="166">
        <v>2</v>
      </c>
      <c r="J70" s="167">
        <f>C70*D70*E70*F70*G70</f>
        <v>61.32</v>
      </c>
      <c r="K70" s="168">
        <f>C70*D70*E70*G70*I70</f>
        <v>613.19999999999993</v>
      </c>
      <c r="L70" s="168">
        <f>D70*E70*H70</f>
        <v>1533</v>
      </c>
      <c r="M70" s="181"/>
    </row>
    <row r="71" spans="1:13">
      <c r="B71" s="165" t="s">
        <v>374</v>
      </c>
      <c r="C71" s="166">
        <v>1</v>
      </c>
      <c r="D71" s="166">
        <v>10</v>
      </c>
      <c r="E71" s="166">
        <v>57.95</v>
      </c>
      <c r="F71" s="166">
        <v>0.2</v>
      </c>
      <c r="G71" s="166">
        <v>0.6</v>
      </c>
      <c r="H71" s="166">
        <v>3</v>
      </c>
      <c r="I71" s="166">
        <v>2</v>
      </c>
      <c r="J71" s="167">
        <f>C71*D71*E71*F71*G71</f>
        <v>69.540000000000006</v>
      </c>
      <c r="K71" s="168">
        <f>C71*D71*E71*G71*I71</f>
        <v>695.4</v>
      </c>
      <c r="L71" s="168">
        <f>D71*E71*H71</f>
        <v>1738.5</v>
      </c>
      <c r="M71" s="181"/>
    </row>
    <row r="72" spans="1:13">
      <c r="B72" s="165" t="s">
        <v>447</v>
      </c>
      <c r="C72" s="166">
        <v>1</v>
      </c>
      <c r="D72" s="166">
        <v>10</v>
      </c>
      <c r="E72" s="166">
        <v>33.4</v>
      </c>
      <c r="F72" s="166">
        <v>0.2</v>
      </c>
      <c r="G72" s="166">
        <v>0.6</v>
      </c>
      <c r="H72" s="166">
        <v>3</v>
      </c>
      <c r="I72" s="166">
        <v>2</v>
      </c>
      <c r="J72" s="167">
        <f>C72*D72*E72*F72*G72</f>
        <v>40.08</v>
      </c>
      <c r="K72" s="168">
        <f>C72*D72*E72*G72*I72</f>
        <v>400.8</v>
      </c>
      <c r="L72" s="168">
        <f>D72*E72*H72</f>
        <v>1002</v>
      </c>
      <c r="M72" s="181"/>
    </row>
    <row r="73" spans="1:13">
      <c r="B73" s="165" t="s">
        <v>375</v>
      </c>
      <c r="C73" s="166">
        <v>1</v>
      </c>
      <c r="D73" s="166">
        <v>10</v>
      </c>
      <c r="E73" s="166">
        <v>35.4</v>
      </c>
      <c r="F73" s="166">
        <v>0.2</v>
      </c>
      <c r="G73" s="166">
        <v>0.6</v>
      </c>
      <c r="H73" s="166">
        <v>3</v>
      </c>
      <c r="I73" s="166">
        <v>2</v>
      </c>
      <c r="J73" s="167">
        <f>C73*D73*E73*F73*G73</f>
        <v>42.48</v>
      </c>
      <c r="K73" s="168">
        <f>C73*D73*E73*G73*I73</f>
        <v>424.8</v>
      </c>
      <c r="L73" s="168">
        <f>D73*E73*H73</f>
        <v>1062</v>
      </c>
      <c r="M73" s="181"/>
    </row>
    <row r="74" spans="1:13">
      <c r="B74" s="165"/>
      <c r="C74" s="166"/>
      <c r="D74" s="166"/>
      <c r="E74" s="201">
        <f>SUM(E69:E73)</f>
        <v>186.25</v>
      </c>
      <c r="G74" s="166"/>
      <c r="H74" s="166"/>
      <c r="I74" s="166"/>
      <c r="J74" s="167"/>
      <c r="K74" s="168"/>
      <c r="L74" s="168">
        <f>SUM(L69:L73)</f>
        <v>5587.5</v>
      </c>
      <c r="M74" s="181"/>
    </row>
    <row r="75" spans="1:13">
      <c r="B75" s="1356" t="s">
        <v>110</v>
      </c>
      <c r="C75" s="1357"/>
      <c r="D75" s="1357"/>
      <c r="E75" s="1358"/>
      <c r="F75" s="166"/>
      <c r="G75" s="169"/>
      <c r="H75" s="169"/>
      <c r="I75" s="169"/>
      <c r="J75" s="170">
        <f>SUM(J69:J73)</f>
        <v>220.14000000000001</v>
      </c>
      <c r="K75" s="171">
        <f>SUM(K69:K73)</f>
        <v>2201.4</v>
      </c>
      <c r="L75" s="171"/>
      <c r="M75" s="182"/>
    </row>
    <row r="76" spans="1:13" ht="15.75" thickBot="1">
      <c r="B76" s="1342" t="s">
        <v>359</v>
      </c>
      <c r="C76" s="1343"/>
      <c r="D76" s="1343"/>
      <c r="E76" s="1343"/>
      <c r="F76" s="169"/>
      <c r="G76" s="169"/>
      <c r="H76" s="169"/>
      <c r="I76" s="169"/>
      <c r="J76" s="170">
        <f>J75*0.05</f>
        <v>11.007000000000001</v>
      </c>
      <c r="K76" s="171">
        <f>K75*0.05</f>
        <v>110.07000000000001</v>
      </c>
      <c r="L76" s="303"/>
      <c r="M76" s="182"/>
    </row>
    <row r="77" spans="1:13" ht="15.75" thickBot="1">
      <c r="B77" s="1344" t="s">
        <v>346</v>
      </c>
      <c r="C77" s="1345"/>
      <c r="D77" s="1345"/>
      <c r="E77" s="1345"/>
      <c r="F77" s="172"/>
      <c r="G77" s="172"/>
      <c r="H77" s="172"/>
      <c r="I77" s="172"/>
      <c r="J77" s="173">
        <f>SUM(J75:J76)</f>
        <v>231.14700000000002</v>
      </c>
      <c r="K77" s="174">
        <f>SUM(K75:K76)</f>
        <v>2311.4700000000003</v>
      </c>
      <c r="L77" s="304">
        <f>L74</f>
        <v>5587.5</v>
      </c>
      <c r="M77" s="182"/>
    </row>
    <row r="78" spans="1:13" ht="15.75" thickBot="1">
      <c r="C78" s="290" t="s">
        <v>371</v>
      </c>
      <c r="D78" s="291"/>
      <c r="E78" s="292">
        <f>E74*0.4</f>
        <v>74.5</v>
      </c>
      <c r="G78" s="183" t="s">
        <v>372</v>
      </c>
      <c r="H78" s="196"/>
      <c r="I78" s="196"/>
      <c r="J78" s="197">
        <f>K77</f>
        <v>2311.4700000000003</v>
      </c>
    </row>
    <row r="79" spans="1:13" ht="15.75" thickBot="1"/>
    <row r="80" spans="1:13" ht="16.5" thickBot="1">
      <c r="A80" s="194" t="s">
        <v>376</v>
      </c>
      <c r="B80" s="193" t="s">
        <v>377</v>
      </c>
      <c r="C80" s="177">
        <f>J77</f>
        <v>231.14700000000002</v>
      </c>
    </row>
    <row r="82" spans="1:8" ht="15.75" thickBot="1">
      <c r="G82" s="233"/>
      <c r="H82" s="233"/>
    </row>
    <row r="83" spans="1:8" ht="16.5" thickBot="1">
      <c r="A83" s="192" t="s">
        <v>378</v>
      </c>
      <c r="B83" s="193" t="s">
        <v>379</v>
      </c>
      <c r="C83" s="177">
        <f>J78</f>
        <v>2311.4700000000003</v>
      </c>
      <c r="F83" s="233"/>
      <c r="G83" s="233"/>
      <c r="H83" s="233"/>
    </row>
    <row r="84" spans="1:8" ht="16.5" thickBot="1">
      <c r="A84" s="192"/>
      <c r="B84" s="195"/>
      <c r="C84" s="182"/>
      <c r="F84" s="233"/>
      <c r="G84" s="233"/>
      <c r="H84" s="233"/>
    </row>
    <row r="85" spans="1:8" ht="30.75" thickBot="1">
      <c r="A85" s="294" t="s">
        <v>472</v>
      </c>
      <c r="B85" s="288" t="s">
        <v>308</v>
      </c>
      <c r="C85" s="293">
        <f>2*E74</f>
        <v>372.5</v>
      </c>
      <c r="D85" s="233"/>
      <c r="E85" s="233"/>
      <c r="F85" s="233"/>
      <c r="G85" s="233"/>
      <c r="H85" s="233"/>
    </row>
    <row r="86" spans="1:8" ht="15.75">
      <c r="A86" s="192"/>
      <c r="B86" s="242"/>
      <c r="C86" s="243"/>
      <c r="D86" s="233"/>
      <c r="E86" s="233"/>
      <c r="F86" s="233"/>
    </row>
    <row r="87" spans="1:8" ht="16.5" thickBot="1">
      <c r="A87" s="192"/>
      <c r="B87" s="242"/>
      <c r="C87" s="243"/>
      <c r="D87" s="233"/>
      <c r="E87" s="233"/>
    </row>
    <row r="88" spans="1:8" ht="16.5" thickBot="1">
      <c r="A88" s="192"/>
      <c r="B88" s="231" t="s">
        <v>442</v>
      </c>
      <c r="C88" s="232">
        <f>E78</f>
        <v>74.5</v>
      </c>
      <c r="D88" s="233"/>
      <c r="E88" s="233"/>
    </row>
    <row r="89" spans="1:8" ht="15.75">
      <c r="A89" s="192"/>
      <c r="B89" s="195"/>
      <c r="C89" s="182"/>
      <c r="F89" s="229"/>
    </row>
    <row r="91" spans="1:8">
      <c r="A91" s="161">
        <v>5</v>
      </c>
      <c r="B91" s="229" t="s">
        <v>465</v>
      </c>
      <c r="C91" s="229"/>
      <c r="D91" s="229"/>
      <c r="E91" s="229"/>
      <c r="F91" s="229"/>
      <c r="G91" s="198">
        <f>0.35*C16</f>
        <v>1982.3999999999999</v>
      </c>
    </row>
    <row r="93" spans="1:8">
      <c r="A93" s="161">
        <v>6</v>
      </c>
      <c r="B93" s="229" t="s">
        <v>380</v>
      </c>
      <c r="C93" s="229"/>
      <c r="D93" s="229"/>
      <c r="E93" s="229"/>
      <c r="F93" s="229"/>
      <c r="G93" s="198">
        <f>1.65*G91</f>
        <v>3270.9599999999996</v>
      </c>
    </row>
    <row r="95" spans="1:8">
      <c r="A95" s="161">
        <v>7</v>
      </c>
      <c r="B95" s="229" t="s">
        <v>381</v>
      </c>
      <c r="C95" s="229"/>
      <c r="D95" s="229"/>
      <c r="E95" s="229"/>
      <c r="F95" s="229"/>
      <c r="G95" s="198">
        <f>G93</f>
        <v>3270.9599999999996</v>
      </c>
    </row>
    <row r="97" spans="1:19">
      <c r="A97" s="161">
        <v>8</v>
      </c>
      <c r="B97" s="229" t="s">
        <v>382</v>
      </c>
      <c r="C97" s="229"/>
      <c r="D97" s="229"/>
      <c r="E97" s="229"/>
    </row>
    <row r="99" spans="1:19" ht="15.75" thickBot="1"/>
    <row r="100" spans="1:19">
      <c r="B100" s="1363" t="s">
        <v>0</v>
      </c>
      <c r="C100" s="1352" t="s">
        <v>337</v>
      </c>
      <c r="D100" s="1348" t="s">
        <v>444</v>
      </c>
      <c r="E100" s="1348" t="s">
        <v>338</v>
      </c>
      <c r="F100" s="1398" t="s">
        <v>445</v>
      </c>
      <c r="G100" s="1399"/>
      <c r="H100" s="1400"/>
      <c r="I100" s="1346" t="s">
        <v>98</v>
      </c>
      <c r="J100" s="1346" t="s">
        <v>340</v>
      </c>
      <c r="K100" s="1375" t="s">
        <v>341</v>
      </c>
    </row>
    <row r="101" spans="1:19">
      <c r="B101" s="1364"/>
      <c r="C101" s="1353"/>
      <c r="D101" s="1349"/>
      <c r="E101" s="1349"/>
      <c r="F101" s="244" t="s">
        <v>302</v>
      </c>
      <c r="G101" s="164" t="s">
        <v>303</v>
      </c>
      <c r="H101" s="164" t="s">
        <v>383</v>
      </c>
      <c r="I101" s="1347"/>
      <c r="J101" s="1347"/>
      <c r="K101" s="1376"/>
    </row>
    <row r="102" spans="1:19" ht="15" customHeight="1">
      <c r="B102" s="165" t="s">
        <v>491</v>
      </c>
      <c r="C102" s="166">
        <v>1</v>
      </c>
      <c r="D102" s="166">
        <v>10</v>
      </c>
      <c r="E102" s="166"/>
      <c r="F102" s="166">
        <v>25.5</v>
      </c>
      <c r="G102" s="166">
        <v>12</v>
      </c>
      <c r="H102" s="166">
        <v>0.1</v>
      </c>
      <c r="I102" s="167">
        <f>C102*D102*F102*G102*H102</f>
        <v>306</v>
      </c>
      <c r="J102" s="167">
        <f>I102/H102</f>
        <v>3060</v>
      </c>
      <c r="K102" s="168"/>
      <c r="S102" s="200"/>
    </row>
    <row r="103" spans="1:19" ht="15" customHeight="1">
      <c r="B103" s="165"/>
      <c r="C103" s="166"/>
      <c r="D103" s="166"/>
      <c r="E103" s="166"/>
      <c r="F103" s="166"/>
      <c r="G103" s="166"/>
      <c r="H103" s="166"/>
      <c r="I103" s="167"/>
      <c r="J103" s="167"/>
      <c r="K103" s="168"/>
      <c r="S103" s="230"/>
    </row>
    <row r="104" spans="1:19" ht="15" customHeight="1">
      <c r="B104" s="165"/>
      <c r="C104" s="166"/>
      <c r="D104" s="166"/>
      <c r="E104" s="166"/>
      <c r="F104" s="166"/>
      <c r="G104" s="166"/>
      <c r="H104" s="166"/>
      <c r="I104" s="167"/>
      <c r="J104" s="167"/>
      <c r="K104" s="168"/>
      <c r="S104" s="230"/>
    </row>
    <row r="105" spans="1:19" ht="15" customHeight="1">
      <c r="B105" s="165"/>
      <c r="C105" s="166"/>
      <c r="D105" s="166"/>
      <c r="E105" s="166"/>
      <c r="F105" s="166"/>
      <c r="G105" s="166"/>
      <c r="H105" s="166"/>
      <c r="I105" s="167"/>
      <c r="J105" s="167"/>
      <c r="K105" s="168"/>
      <c r="S105" s="230"/>
    </row>
    <row r="106" spans="1:19">
      <c r="B106" s="1342" t="s">
        <v>110</v>
      </c>
      <c r="C106" s="1343"/>
      <c r="D106" s="1343"/>
      <c r="E106" s="1343"/>
      <c r="F106" s="166"/>
      <c r="G106" s="169"/>
      <c r="H106" s="169"/>
      <c r="I106" s="170">
        <f>SUM(I102:I102)</f>
        <v>306</v>
      </c>
      <c r="J106" s="170">
        <f>SUM(J102:J102)</f>
        <v>3060</v>
      </c>
      <c r="K106" s="171"/>
    </row>
    <row r="107" spans="1:19">
      <c r="B107" s="1342" t="s">
        <v>345</v>
      </c>
      <c r="C107" s="1343"/>
      <c r="D107" s="1343"/>
      <c r="E107" s="1343"/>
      <c r="F107" s="169"/>
      <c r="G107" s="169"/>
      <c r="H107" s="169"/>
      <c r="I107" s="170">
        <f>I106*0.05</f>
        <v>15.3</v>
      </c>
      <c r="J107" s="170">
        <f>J106*0.05</f>
        <v>153</v>
      </c>
      <c r="K107" s="171"/>
    </row>
    <row r="108" spans="1:19" ht="15.75" thickBot="1">
      <c r="B108" s="1344" t="s">
        <v>346</v>
      </c>
      <c r="C108" s="1345"/>
      <c r="D108" s="1345"/>
      <c r="E108" s="1345"/>
      <c r="F108" s="172"/>
      <c r="G108" s="172"/>
      <c r="H108" s="172"/>
      <c r="I108" s="173">
        <f>SUM(I106:I107)</f>
        <v>321.3</v>
      </c>
      <c r="J108" s="173">
        <f>SUM(J106:J107)</f>
        <v>3213</v>
      </c>
      <c r="K108" s="174"/>
    </row>
    <row r="109" spans="1:19" ht="15" customHeight="1"/>
    <row r="110" spans="1:19" ht="15.75" thickBot="1">
      <c r="G110" s="182"/>
    </row>
    <row r="111" spans="1:19" ht="16.5" thickBot="1">
      <c r="A111" s="192" t="s">
        <v>384</v>
      </c>
      <c r="B111" s="193" t="s">
        <v>385</v>
      </c>
      <c r="C111" s="177">
        <f>I108</f>
        <v>321.3</v>
      </c>
      <c r="F111" s="210"/>
    </row>
    <row r="112" spans="1:19" ht="15.75" thickBot="1"/>
    <row r="113" spans="1:11" ht="16.5" thickBot="1">
      <c r="A113" s="192" t="s">
        <v>492</v>
      </c>
      <c r="B113" s="223" t="s">
        <v>386</v>
      </c>
      <c r="C113" s="177">
        <f>J108</f>
        <v>3213</v>
      </c>
      <c r="D113" s="210"/>
      <c r="E113" s="210"/>
      <c r="G113" s="200"/>
    </row>
    <row r="114" spans="1:11" ht="15.75">
      <c r="A114" s="194"/>
      <c r="G114" s="228"/>
    </row>
    <row r="115" spans="1:11">
      <c r="B115" s="178" t="s">
        <v>387</v>
      </c>
    </row>
    <row r="116" spans="1:11">
      <c r="B116" s="199"/>
      <c r="C116" s="200"/>
      <c r="D116" s="200"/>
      <c r="E116" s="200"/>
    </row>
    <row r="117" spans="1:11">
      <c r="A117" s="161">
        <v>9</v>
      </c>
      <c r="B117" s="227" t="s">
        <v>449</v>
      </c>
      <c r="C117" s="228"/>
      <c r="D117" s="228"/>
      <c r="E117" s="228"/>
    </row>
    <row r="118" spans="1:11" ht="15.75" thickBot="1"/>
    <row r="119" spans="1:11">
      <c r="A119" s="161">
        <v>10</v>
      </c>
      <c r="B119" s="1363" t="s">
        <v>0</v>
      </c>
      <c r="C119" s="1352" t="s">
        <v>337</v>
      </c>
      <c r="D119" s="1348" t="s">
        <v>444</v>
      </c>
      <c r="E119" s="1348" t="s">
        <v>338</v>
      </c>
      <c r="F119" s="1383" t="s">
        <v>339</v>
      </c>
      <c r="G119" s="1384"/>
      <c r="H119" s="224"/>
      <c r="I119" s="1346" t="s">
        <v>98</v>
      </c>
      <c r="J119" s="1346" t="s">
        <v>340</v>
      </c>
      <c r="K119" s="1375" t="s">
        <v>341</v>
      </c>
    </row>
    <row r="120" spans="1:11">
      <c r="B120" s="1364"/>
      <c r="C120" s="1353"/>
      <c r="D120" s="1349"/>
      <c r="E120" s="1349"/>
      <c r="F120" s="164" t="s">
        <v>302</v>
      </c>
      <c r="G120" s="164" t="s">
        <v>303</v>
      </c>
      <c r="H120" s="164" t="s">
        <v>383</v>
      </c>
      <c r="I120" s="1347"/>
      <c r="J120" s="1347"/>
      <c r="K120" s="1376"/>
    </row>
    <row r="121" spans="1:11">
      <c r="B121" s="165" t="s">
        <v>388</v>
      </c>
      <c r="C121" s="166">
        <v>1</v>
      </c>
      <c r="D121" s="166">
        <v>10</v>
      </c>
      <c r="E121" s="166">
        <v>2</v>
      </c>
      <c r="F121" s="245">
        <v>6.6</v>
      </c>
      <c r="G121" s="166">
        <v>1.8</v>
      </c>
      <c r="H121" s="166">
        <v>0.14000000000000001</v>
      </c>
      <c r="I121" s="167">
        <f>C121*D121*E121*F121*G121*H121</f>
        <v>33.264000000000003</v>
      </c>
      <c r="J121" s="167">
        <f>I121/H121</f>
        <v>237.6</v>
      </c>
      <c r="K121" s="168"/>
    </row>
    <row r="122" spans="1:11">
      <c r="B122" s="165" t="s">
        <v>388</v>
      </c>
      <c r="C122" s="166">
        <v>1</v>
      </c>
      <c r="D122" s="166">
        <v>10</v>
      </c>
      <c r="E122" s="166">
        <v>2</v>
      </c>
      <c r="F122" s="166">
        <v>4</v>
      </c>
      <c r="G122" s="166">
        <v>4</v>
      </c>
      <c r="H122" s="166">
        <v>0.14000000000000001</v>
      </c>
      <c r="I122" s="167">
        <f t="shared" ref="I122:I127" si="0">C122*D122*E122*F122*G122*H122</f>
        <v>44.800000000000004</v>
      </c>
      <c r="J122" s="167">
        <f t="shared" ref="J122:J127" si="1">I122/H122</f>
        <v>320</v>
      </c>
      <c r="K122" s="168"/>
    </row>
    <row r="123" spans="1:11">
      <c r="B123" s="165" t="s">
        <v>388</v>
      </c>
      <c r="C123" s="166">
        <v>1</v>
      </c>
      <c r="D123" s="166">
        <v>10</v>
      </c>
      <c r="E123" s="166">
        <v>2</v>
      </c>
      <c r="F123" s="166">
        <v>2.6</v>
      </c>
      <c r="G123" s="166">
        <v>3</v>
      </c>
      <c r="H123" s="166">
        <v>0.14000000000000001</v>
      </c>
      <c r="I123" s="167">
        <f t="shared" si="0"/>
        <v>21.840000000000003</v>
      </c>
      <c r="J123" s="167">
        <f t="shared" si="1"/>
        <v>156</v>
      </c>
      <c r="K123" s="168"/>
    </row>
    <row r="124" spans="1:11">
      <c r="B124" s="165" t="s">
        <v>390</v>
      </c>
      <c r="C124" s="166">
        <v>1</v>
      </c>
      <c r="D124" s="166">
        <v>10</v>
      </c>
      <c r="E124" s="166">
        <v>2</v>
      </c>
      <c r="F124" s="166">
        <v>4</v>
      </c>
      <c r="G124" s="166">
        <v>4.2</v>
      </c>
      <c r="H124" s="166">
        <v>0.15</v>
      </c>
      <c r="I124" s="167">
        <f>C124*D124*E124*F124*G124*H124</f>
        <v>50.4</v>
      </c>
      <c r="J124" s="167">
        <f>I124/H124</f>
        <v>336</v>
      </c>
      <c r="K124" s="168"/>
    </row>
    <row r="125" spans="1:11">
      <c r="B125" s="165" t="s">
        <v>389</v>
      </c>
      <c r="C125" s="166">
        <v>1</v>
      </c>
      <c r="D125" s="166">
        <v>10</v>
      </c>
      <c r="E125" s="166">
        <v>2</v>
      </c>
      <c r="F125" s="166">
        <v>4.0999999999999996</v>
      </c>
      <c r="G125" s="166">
        <v>4.2</v>
      </c>
      <c r="H125" s="166">
        <v>0.15</v>
      </c>
      <c r="I125" s="167">
        <f>C125*D125*E125*F125*G125*H125</f>
        <v>51.660000000000004</v>
      </c>
      <c r="J125" s="167">
        <f>I125/H125</f>
        <v>344.40000000000003</v>
      </c>
      <c r="K125" s="168"/>
    </row>
    <row r="126" spans="1:11">
      <c r="B126" s="165" t="s">
        <v>389</v>
      </c>
      <c r="C126" s="166">
        <v>1</v>
      </c>
      <c r="D126" s="166">
        <v>10</v>
      </c>
      <c r="E126" s="166">
        <v>2</v>
      </c>
      <c r="F126" s="166">
        <v>4.5999999999999996</v>
      </c>
      <c r="G126" s="166">
        <v>4.95</v>
      </c>
      <c r="H126" s="166">
        <v>0.15</v>
      </c>
      <c r="I126" s="167">
        <f>C126*D126*E126*F126*G126*H126</f>
        <v>68.31</v>
      </c>
      <c r="J126" s="167">
        <f>I126/H126</f>
        <v>455.40000000000003</v>
      </c>
      <c r="K126" s="168"/>
    </row>
    <row r="127" spans="1:11">
      <c r="B127" s="165" t="s">
        <v>391</v>
      </c>
      <c r="C127" s="166">
        <v>1</v>
      </c>
      <c r="D127" s="166">
        <v>10</v>
      </c>
      <c r="E127" s="166">
        <v>2</v>
      </c>
      <c r="F127" s="166">
        <v>12.9</v>
      </c>
      <c r="G127" s="166">
        <v>1.5</v>
      </c>
      <c r="H127" s="166">
        <v>0.18</v>
      </c>
      <c r="I127" s="167">
        <f t="shared" si="0"/>
        <v>69.66</v>
      </c>
      <c r="J127" s="167">
        <f t="shared" si="1"/>
        <v>387</v>
      </c>
      <c r="K127" s="168"/>
    </row>
    <row r="128" spans="1:11">
      <c r="B128" s="1342" t="s">
        <v>110</v>
      </c>
      <c r="C128" s="1343"/>
      <c r="D128" s="1343"/>
      <c r="E128" s="1343"/>
      <c r="F128" s="166"/>
      <c r="G128" s="169"/>
      <c r="H128" s="169"/>
      <c r="I128" s="170">
        <f>SUM(I121:I127)</f>
        <v>339.93399999999997</v>
      </c>
      <c r="J128" s="170">
        <f>SUM(J121:J127)</f>
        <v>2236.4</v>
      </c>
      <c r="K128" s="171"/>
    </row>
    <row r="129" spans="1:11">
      <c r="B129" s="1342" t="s">
        <v>345</v>
      </c>
      <c r="C129" s="1343"/>
      <c r="D129" s="1343"/>
      <c r="E129" s="1343"/>
      <c r="F129" s="169"/>
      <c r="G129" s="169"/>
      <c r="H129" s="169"/>
      <c r="I129" s="170">
        <f>I128*0.05</f>
        <v>16.996700000000001</v>
      </c>
      <c r="J129" s="170">
        <f>J128*0.05</f>
        <v>111.82000000000001</v>
      </c>
      <c r="K129" s="171"/>
    </row>
    <row r="130" spans="1:11" ht="15.75" thickBot="1">
      <c r="B130" s="1344" t="s">
        <v>346</v>
      </c>
      <c r="C130" s="1345"/>
      <c r="D130" s="1345"/>
      <c r="E130" s="1345"/>
      <c r="F130" s="172"/>
      <c r="G130" s="172"/>
      <c r="H130" s="172"/>
      <c r="I130" s="173">
        <f>SUM(I128:I129)</f>
        <v>356.93069999999994</v>
      </c>
      <c r="J130" s="173">
        <f>SUM(J128:J129)</f>
        <v>2348.2200000000003</v>
      </c>
      <c r="K130" s="174"/>
    </row>
    <row r="131" spans="1:11" s="189" customFormat="1">
      <c r="A131" s="187"/>
      <c r="B131" s="188"/>
      <c r="C131" s="188"/>
      <c r="D131" s="188"/>
      <c r="E131" s="188"/>
      <c r="F131" s="191"/>
      <c r="G131" s="191"/>
      <c r="H131" s="191"/>
      <c r="I131" s="190"/>
      <c r="J131" s="190"/>
      <c r="K131" s="190"/>
    </row>
    <row r="132" spans="1:11" s="189" customFormat="1">
      <c r="A132" s="187"/>
      <c r="B132" s="188"/>
      <c r="C132" s="188"/>
      <c r="D132" s="188"/>
      <c r="E132" s="188"/>
      <c r="F132" s="191"/>
      <c r="G132" s="191"/>
      <c r="H132" s="191"/>
      <c r="I132" s="190"/>
      <c r="J132" s="190"/>
      <c r="K132" s="190"/>
    </row>
    <row r="133" spans="1:11" s="189" customFormat="1">
      <c r="A133" s="187"/>
      <c r="B133" s="227" t="s">
        <v>450</v>
      </c>
      <c r="C133" s="228"/>
      <c r="D133" s="228"/>
      <c r="E133" s="228"/>
      <c r="F133" s="163"/>
      <c r="G133" s="163"/>
      <c r="H133" s="163"/>
      <c r="I133" s="163"/>
      <c r="J133" s="163"/>
      <c r="K133" s="163"/>
    </row>
    <row r="134" spans="1:11" s="189" customFormat="1" ht="15.75" thickBot="1">
      <c r="A134" s="187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</row>
    <row r="135" spans="1:11" s="189" customFormat="1">
      <c r="A135" s="187"/>
      <c r="B135" s="1363" t="s">
        <v>0</v>
      </c>
      <c r="C135" s="1352" t="s">
        <v>337</v>
      </c>
      <c r="D135" s="1348" t="s">
        <v>444</v>
      </c>
      <c r="E135" s="1348" t="s">
        <v>338</v>
      </c>
      <c r="F135" s="1383" t="s">
        <v>339</v>
      </c>
      <c r="G135" s="1384"/>
      <c r="H135" s="1388" t="s">
        <v>383</v>
      </c>
      <c r="I135" s="1346" t="s">
        <v>98</v>
      </c>
      <c r="J135" s="1346" t="s">
        <v>340</v>
      </c>
      <c r="K135" s="1375" t="s">
        <v>341</v>
      </c>
    </row>
    <row r="136" spans="1:11" s="189" customFormat="1">
      <c r="A136" s="187"/>
      <c r="B136" s="1364"/>
      <c r="C136" s="1353"/>
      <c r="D136" s="1349"/>
      <c r="E136" s="1349"/>
      <c r="F136" s="164" t="s">
        <v>302</v>
      </c>
      <c r="G136" s="164" t="s">
        <v>303</v>
      </c>
      <c r="H136" s="1397"/>
      <c r="I136" s="1347"/>
      <c r="J136" s="1347"/>
      <c r="K136" s="1376"/>
    </row>
    <row r="137" spans="1:11" s="189" customFormat="1">
      <c r="A137" s="187"/>
      <c r="B137" s="165" t="s">
        <v>388</v>
      </c>
      <c r="C137" s="166">
        <v>1</v>
      </c>
      <c r="D137" s="166">
        <v>10</v>
      </c>
      <c r="E137" s="166">
        <v>2</v>
      </c>
      <c r="F137" s="245">
        <v>2.2000000000000002</v>
      </c>
      <c r="G137" s="166">
        <v>2.2000000000000002</v>
      </c>
      <c r="H137" s="166">
        <v>0.14000000000000001</v>
      </c>
      <c r="I137" s="167">
        <f>C137*D137*E137*F137*G137*H137</f>
        <v>13.552000000000003</v>
      </c>
      <c r="J137" s="167">
        <f>I137/H137</f>
        <v>96.800000000000011</v>
      </c>
      <c r="K137" s="168"/>
    </row>
    <row r="138" spans="1:11" s="189" customFormat="1">
      <c r="A138" s="187"/>
      <c r="B138" s="165" t="s">
        <v>389</v>
      </c>
      <c r="C138" s="166">
        <v>1</v>
      </c>
      <c r="D138" s="166">
        <v>10</v>
      </c>
      <c r="E138" s="166">
        <v>1</v>
      </c>
      <c r="F138" s="166">
        <v>4</v>
      </c>
      <c r="G138" s="166">
        <v>4.2</v>
      </c>
      <c r="H138" s="166">
        <v>0.15</v>
      </c>
      <c r="I138" s="167">
        <f>C138*D138*E138*F138*G138*H138</f>
        <v>25.2</v>
      </c>
      <c r="J138" s="167">
        <f>I138/H138</f>
        <v>168</v>
      </c>
      <c r="K138" s="168"/>
    </row>
    <row r="139" spans="1:11" s="189" customFormat="1">
      <c r="A139" s="187"/>
      <c r="B139" s="165" t="s">
        <v>389</v>
      </c>
      <c r="C139" s="166">
        <v>1</v>
      </c>
      <c r="D139" s="166">
        <v>10</v>
      </c>
      <c r="E139" s="166">
        <v>2</v>
      </c>
      <c r="F139" s="166">
        <v>2.6</v>
      </c>
      <c r="G139" s="166">
        <v>3</v>
      </c>
      <c r="H139" s="166">
        <v>0.15</v>
      </c>
      <c r="I139" s="167">
        <f>C139*D139*E139*F139*G139*H139</f>
        <v>23.4</v>
      </c>
      <c r="J139" s="167">
        <f>I139/H139</f>
        <v>156</v>
      </c>
      <c r="K139" s="168"/>
    </row>
    <row r="140" spans="1:11" s="189" customFormat="1">
      <c r="A140" s="187"/>
      <c r="B140" s="1342" t="s">
        <v>110</v>
      </c>
      <c r="C140" s="1343"/>
      <c r="D140" s="1343"/>
      <c r="E140" s="1343"/>
      <c r="F140" s="166"/>
      <c r="G140" s="169"/>
      <c r="H140" s="169"/>
      <c r="I140" s="170">
        <f>SUM(I137:I139)</f>
        <v>62.152000000000001</v>
      </c>
      <c r="J140" s="170">
        <f>SUM(J137:J139)</f>
        <v>420.8</v>
      </c>
      <c r="K140" s="171"/>
    </row>
    <row r="141" spans="1:11">
      <c r="B141" s="1342" t="s">
        <v>345</v>
      </c>
      <c r="C141" s="1343"/>
      <c r="D141" s="1343"/>
      <c r="E141" s="1343"/>
      <c r="F141" s="169"/>
      <c r="G141" s="169"/>
      <c r="H141" s="169"/>
      <c r="I141" s="170">
        <f>I140*0.05</f>
        <v>3.1076000000000001</v>
      </c>
      <c r="J141" s="170">
        <f>J140*0.05</f>
        <v>21.040000000000003</v>
      </c>
      <c r="K141" s="171"/>
    </row>
    <row r="142" spans="1:11" ht="15.75" thickBot="1">
      <c r="B142" s="1344" t="s">
        <v>346</v>
      </c>
      <c r="C142" s="1345"/>
      <c r="D142" s="1345"/>
      <c r="E142" s="1345"/>
      <c r="F142" s="172"/>
      <c r="G142" s="172"/>
      <c r="H142" s="172"/>
      <c r="I142" s="173">
        <f>SUM(I140:I141)</f>
        <v>65.259600000000006</v>
      </c>
      <c r="J142" s="173">
        <f>SUM(J140:J141)</f>
        <v>441.84000000000003</v>
      </c>
      <c r="K142" s="174"/>
    </row>
    <row r="145" spans="1:28">
      <c r="B145" s="247" t="s">
        <v>451</v>
      </c>
      <c r="C145" s="248"/>
      <c r="D145" s="248"/>
      <c r="E145" s="248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</row>
    <row r="146" spans="1:28" ht="15.75" thickBot="1"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</row>
    <row r="147" spans="1:28" ht="15" customHeight="1">
      <c r="B147" s="1350" t="s">
        <v>0</v>
      </c>
      <c r="C147" s="1352" t="s">
        <v>337</v>
      </c>
      <c r="D147" s="1354" t="s">
        <v>444</v>
      </c>
      <c r="E147" s="1354" t="s">
        <v>338</v>
      </c>
      <c r="F147" s="1383" t="s">
        <v>339</v>
      </c>
      <c r="G147" s="1384"/>
      <c r="H147" s="246"/>
      <c r="I147" s="1388" t="s">
        <v>98</v>
      </c>
      <c r="J147" s="1388" t="s">
        <v>340</v>
      </c>
      <c r="K147" s="1390" t="s">
        <v>341</v>
      </c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</row>
    <row r="148" spans="1:28">
      <c r="B148" s="1351"/>
      <c r="C148" s="1353"/>
      <c r="D148" s="1355"/>
      <c r="E148" s="1355"/>
      <c r="F148" s="164" t="s">
        <v>302</v>
      </c>
      <c r="G148" s="164" t="s">
        <v>303</v>
      </c>
      <c r="H148" s="164" t="s">
        <v>383</v>
      </c>
      <c r="I148" s="1389"/>
      <c r="J148" s="1389"/>
      <c r="K148" s="1391"/>
      <c r="N148" s="257"/>
      <c r="O148" s="257"/>
      <c r="P148" s="257"/>
      <c r="Q148" s="257"/>
      <c r="R148" s="257"/>
      <c r="S148" s="257"/>
      <c r="T148" s="257"/>
      <c r="U148" s="255"/>
      <c r="V148" s="255"/>
      <c r="W148" s="190"/>
      <c r="X148" s="191"/>
      <c r="Y148" s="191"/>
      <c r="Z148" s="191"/>
      <c r="AA148" s="191"/>
      <c r="AB148" s="191"/>
    </row>
    <row r="149" spans="1:28">
      <c r="B149" s="165" t="s">
        <v>388</v>
      </c>
      <c r="C149" s="166">
        <v>1</v>
      </c>
      <c r="D149" s="166">
        <v>10</v>
      </c>
      <c r="E149" s="166">
        <v>2</v>
      </c>
      <c r="F149" s="245">
        <v>3</v>
      </c>
      <c r="G149" s="166">
        <v>2.2000000000000002</v>
      </c>
      <c r="H149" s="166">
        <v>0.14000000000000001</v>
      </c>
      <c r="I149" s="167">
        <f>C149*D149*E149*F149*G149*H149</f>
        <v>18.48</v>
      </c>
      <c r="J149" s="167">
        <f>I149/H149</f>
        <v>132</v>
      </c>
      <c r="K149" s="168"/>
      <c r="N149" s="257"/>
      <c r="O149" s="257"/>
      <c r="P149" s="257"/>
      <c r="Q149" s="257"/>
      <c r="R149" s="257"/>
      <c r="S149" s="257"/>
      <c r="T149" s="257"/>
      <c r="U149" s="255"/>
      <c r="V149" s="255"/>
      <c r="W149" s="190"/>
      <c r="X149" s="191"/>
      <c r="Y149" s="191"/>
      <c r="Z149" s="191"/>
      <c r="AA149" s="191"/>
      <c r="AB149" s="191"/>
    </row>
    <row r="150" spans="1:28">
      <c r="B150" s="165" t="s">
        <v>389</v>
      </c>
      <c r="C150" s="166">
        <v>1</v>
      </c>
      <c r="D150" s="166">
        <v>10</v>
      </c>
      <c r="E150" s="166">
        <v>2</v>
      </c>
      <c r="F150" s="166">
        <v>4</v>
      </c>
      <c r="G150" s="166">
        <v>2.2000000000000002</v>
      </c>
      <c r="H150" s="166">
        <v>0.15</v>
      </c>
      <c r="I150" s="167">
        <f>C150*D150*E150*F150*G150*H150</f>
        <v>26.4</v>
      </c>
      <c r="J150" s="167">
        <f>I150/H150</f>
        <v>176</v>
      </c>
      <c r="K150" s="168"/>
      <c r="N150" s="257"/>
      <c r="O150" s="257"/>
      <c r="P150" s="257"/>
      <c r="Q150" s="257"/>
      <c r="R150" s="257"/>
      <c r="S150" s="257"/>
      <c r="T150" s="257"/>
      <c r="U150" s="255"/>
      <c r="V150" s="255"/>
      <c r="W150" s="190"/>
      <c r="X150" s="191"/>
      <c r="Y150" s="191"/>
      <c r="Z150" s="191"/>
      <c r="AA150" s="191"/>
      <c r="AB150" s="191"/>
    </row>
    <row r="151" spans="1:28">
      <c r="B151" s="165" t="s">
        <v>389</v>
      </c>
      <c r="C151" s="166">
        <v>1</v>
      </c>
      <c r="D151" s="166">
        <v>10</v>
      </c>
      <c r="E151" s="166">
        <v>2</v>
      </c>
      <c r="F151" s="166">
        <v>3.8</v>
      </c>
      <c r="G151" s="166">
        <v>3.2</v>
      </c>
      <c r="H151" s="245">
        <v>0.15</v>
      </c>
      <c r="I151" s="167">
        <f>C151*D151*E151*F151*G151*H151</f>
        <v>36.480000000000004</v>
      </c>
      <c r="J151" s="167">
        <f>I151/H151</f>
        <v>243.20000000000005</v>
      </c>
      <c r="K151" s="168"/>
      <c r="N151" s="257"/>
      <c r="O151" s="257"/>
      <c r="P151" s="257"/>
      <c r="Q151" s="257"/>
      <c r="R151" s="257"/>
      <c r="S151" s="191"/>
      <c r="T151" s="191"/>
      <c r="U151" s="190"/>
      <c r="V151" s="190"/>
      <c r="W151" s="190"/>
      <c r="X151" s="191"/>
      <c r="Y151" s="191"/>
      <c r="Z151" s="191"/>
      <c r="AA151" s="191"/>
      <c r="AB151" s="191"/>
    </row>
    <row r="152" spans="1:28">
      <c r="B152" s="165" t="s">
        <v>389</v>
      </c>
      <c r="C152" s="166">
        <v>1</v>
      </c>
      <c r="D152" s="166">
        <v>10</v>
      </c>
      <c r="E152" s="166">
        <v>2</v>
      </c>
      <c r="F152" s="166">
        <v>2.6</v>
      </c>
      <c r="G152" s="166">
        <v>6.2</v>
      </c>
      <c r="H152" s="166">
        <v>0.15</v>
      </c>
      <c r="I152" s="167">
        <f>C152*D152*E152*F152*G152*H152</f>
        <v>48.360000000000007</v>
      </c>
      <c r="J152" s="167">
        <f>I152/H152</f>
        <v>322.40000000000003</v>
      </c>
      <c r="K152" s="168"/>
      <c r="N152" s="257"/>
      <c r="O152" s="257"/>
      <c r="P152" s="257"/>
      <c r="Q152" s="257"/>
      <c r="R152" s="257"/>
      <c r="S152" s="191"/>
      <c r="T152" s="191"/>
      <c r="U152" s="190"/>
      <c r="V152" s="190"/>
      <c r="W152" s="190"/>
      <c r="X152" s="191"/>
      <c r="Y152" s="191"/>
      <c r="Z152" s="191"/>
      <c r="AA152" s="191"/>
      <c r="AB152" s="191"/>
    </row>
    <row r="153" spans="1:28" s="189" customFormat="1">
      <c r="A153" s="187"/>
      <c r="B153" s="1356" t="s">
        <v>110</v>
      </c>
      <c r="C153" s="1357"/>
      <c r="D153" s="1357"/>
      <c r="E153" s="1358"/>
      <c r="F153" s="166"/>
      <c r="G153" s="169"/>
      <c r="H153" s="169"/>
      <c r="I153" s="170">
        <f>SUM(I149:I151)</f>
        <v>81.36</v>
      </c>
      <c r="J153" s="170">
        <f>SUM(J149:J151)</f>
        <v>551.20000000000005</v>
      </c>
      <c r="K153" s="171"/>
      <c r="M153" s="163"/>
      <c r="N153" s="1382"/>
      <c r="O153" s="1382"/>
      <c r="P153" s="1382"/>
      <c r="Q153" s="1382"/>
      <c r="R153" s="191"/>
      <c r="S153" s="191"/>
      <c r="T153" s="191"/>
      <c r="U153" s="190"/>
      <c r="V153" s="190"/>
      <c r="W153" s="191"/>
      <c r="X153" s="191"/>
      <c r="Y153" s="191"/>
      <c r="Z153" s="191"/>
      <c r="AA153" s="191"/>
      <c r="AB153" s="191"/>
    </row>
    <row r="154" spans="1:28">
      <c r="B154" s="1356" t="s">
        <v>345</v>
      </c>
      <c r="C154" s="1357"/>
      <c r="D154" s="1357"/>
      <c r="E154" s="1358"/>
      <c r="F154" s="169"/>
      <c r="G154" s="169"/>
      <c r="H154" s="169"/>
      <c r="I154" s="170">
        <f>I153*0.05</f>
        <v>4.0680000000000005</v>
      </c>
      <c r="J154" s="170">
        <f>J153*0.05</f>
        <v>27.560000000000002</v>
      </c>
      <c r="K154" s="171"/>
      <c r="N154" s="1382"/>
      <c r="O154" s="1382"/>
      <c r="P154" s="1382"/>
      <c r="Q154" s="1382"/>
      <c r="R154" s="191"/>
      <c r="S154" s="191"/>
      <c r="T154" s="191"/>
      <c r="U154" s="190"/>
      <c r="V154" s="190"/>
      <c r="W154" s="191"/>
      <c r="X154" s="191"/>
      <c r="Y154" s="191"/>
      <c r="Z154" s="191"/>
      <c r="AA154" s="191"/>
      <c r="AB154" s="191"/>
    </row>
    <row r="155" spans="1:28" ht="16.5" thickBot="1">
      <c r="A155" s="194"/>
      <c r="B155" s="1377" t="s">
        <v>346</v>
      </c>
      <c r="C155" s="1378"/>
      <c r="D155" s="1378"/>
      <c r="E155" s="1379"/>
      <c r="F155" s="172"/>
      <c r="G155" s="172"/>
      <c r="H155" s="172"/>
      <c r="I155" s="173">
        <f>SUM(I153:I154)</f>
        <v>85.427999999999997</v>
      </c>
      <c r="J155" s="173">
        <f>SUM(J153:J154)</f>
        <v>578.76</v>
      </c>
      <c r="K155" s="174"/>
      <c r="N155" s="1382"/>
      <c r="O155" s="1382"/>
      <c r="P155" s="1382"/>
      <c r="Q155" s="1382"/>
      <c r="R155" s="191"/>
      <c r="S155" s="191"/>
      <c r="T155" s="191"/>
      <c r="U155" s="191"/>
      <c r="V155" s="191"/>
      <c r="W155" s="191"/>
      <c r="X155" s="191"/>
      <c r="Y155" s="191"/>
      <c r="Z155" s="191"/>
      <c r="AA155" s="191"/>
      <c r="AB155" s="191"/>
    </row>
    <row r="156" spans="1:28">
      <c r="N156" s="191"/>
      <c r="O156" s="191"/>
      <c r="P156" s="191"/>
      <c r="Q156" s="191"/>
      <c r="R156" s="191"/>
      <c r="S156" s="191"/>
      <c r="T156" s="191"/>
      <c r="U156" s="191"/>
      <c r="V156" s="191"/>
      <c r="W156" s="191"/>
      <c r="X156" s="191"/>
      <c r="Y156" s="191"/>
      <c r="Z156" s="191"/>
      <c r="AA156" s="191"/>
      <c r="AB156" s="191"/>
    </row>
    <row r="157" spans="1:28" ht="15.75">
      <c r="A157" s="194"/>
      <c r="F157" s="228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</row>
    <row r="158" spans="1:28">
      <c r="A158" s="161">
        <v>11</v>
      </c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191"/>
      <c r="AA158" s="191"/>
      <c r="AB158" s="191"/>
    </row>
    <row r="159" spans="1:28" ht="15.75" thickBot="1">
      <c r="B159" s="188"/>
      <c r="C159" s="188"/>
      <c r="D159" s="188"/>
      <c r="E159" s="188"/>
      <c r="G159" s="230"/>
      <c r="N159" s="191"/>
      <c r="O159" s="191"/>
      <c r="P159" s="191"/>
      <c r="Q159" s="191"/>
      <c r="R159" s="191"/>
      <c r="S159" s="191"/>
      <c r="T159" s="191"/>
      <c r="U159" s="191"/>
      <c r="V159" s="191"/>
      <c r="W159" s="1381"/>
      <c r="X159" s="191"/>
      <c r="Y159" s="191"/>
      <c r="Z159" s="191"/>
      <c r="AA159" s="191"/>
      <c r="AB159" s="191"/>
    </row>
    <row r="160" spans="1:28" ht="16.5" thickBot="1">
      <c r="A160" s="192" t="s">
        <v>392</v>
      </c>
      <c r="B160" s="193" t="s">
        <v>393</v>
      </c>
      <c r="C160" s="177">
        <f>I155+I142+I130+C191</f>
        <v>737.8623</v>
      </c>
      <c r="N160" s="191"/>
      <c r="O160" s="191"/>
      <c r="P160" s="191"/>
      <c r="Q160" s="191"/>
      <c r="R160" s="191"/>
      <c r="S160" s="191"/>
      <c r="T160" s="191"/>
      <c r="U160" s="191"/>
      <c r="V160" s="191"/>
      <c r="W160" s="1381"/>
      <c r="X160" s="191"/>
      <c r="Y160" s="191"/>
      <c r="Z160" s="191"/>
      <c r="AA160" s="191"/>
      <c r="AB160" s="191"/>
    </row>
    <row r="161" spans="1:28" ht="15.75" thickBot="1">
      <c r="N161" s="191"/>
      <c r="O161" s="191"/>
      <c r="P161" s="191"/>
      <c r="Q161" s="191"/>
      <c r="R161" s="191"/>
      <c r="S161" s="191"/>
      <c r="T161" s="191"/>
      <c r="U161" s="191"/>
      <c r="V161" s="191"/>
      <c r="W161" s="255"/>
      <c r="X161" s="191"/>
      <c r="Y161" s="191"/>
      <c r="Z161" s="191"/>
      <c r="AA161" s="191"/>
      <c r="AB161" s="191"/>
    </row>
    <row r="162" spans="1:28" ht="16.5" thickBot="1">
      <c r="A162" s="192" t="s">
        <v>394</v>
      </c>
      <c r="B162" s="193" t="s">
        <v>395</v>
      </c>
      <c r="C162" s="177">
        <v>3213</v>
      </c>
      <c r="N162" s="1387"/>
      <c r="O162" s="1387"/>
      <c r="P162" s="1387"/>
      <c r="Q162" s="1387"/>
      <c r="R162" s="191"/>
      <c r="S162" s="254"/>
      <c r="T162" s="254"/>
      <c r="U162" s="254"/>
      <c r="V162" s="254"/>
      <c r="W162" s="255"/>
      <c r="X162" s="191"/>
      <c r="Y162" s="191"/>
      <c r="Z162" s="191"/>
      <c r="AA162" s="191"/>
      <c r="AB162" s="191"/>
    </row>
    <row r="163" spans="1:28">
      <c r="F163" s="189"/>
      <c r="G163" s="189"/>
      <c r="H163" s="189"/>
      <c r="I163" s="189"/>
      <c r="J163" s="189"/>
      <c r="K163" s="189"/>
      <c r="N163" s="259"/>
      <c r="O163" s="254"/>
      <c r="P163" s="254"/>
      <c r="Q163" s="254"/>
      <c r="R163" s="254"/>
      <c r="S163" s="191"/>
      <c r="T163" s="191"/>
      <c r="U163" s="191"/>
      <c r="V163" s="191"/>
      <c r="W163" s="255"/>
      <c r="X163" s="191"/>
      <c r="Y163" s="191"/>
      <c r="Z163" s="191"/>
      <c r="AA163" s="191"/>
      <c r="AB163" s="191"/>
    </row>
    <row r="164" spans="1:28">
      <c r="A164" s="161">
        <v>13</v>
      </c>
      <c r="B164" s="229" t="s">
        <v>453</v>
      </c>
      <c r="C164" s="230"/>
      <c r="D164" s="230"/>
      <c r="E164" s="230"/>
      <c r="N164" s="191"/>
      <c r="O164" s="191"/>
      <c r="P164" s="191"/>
      <c r="Q164" s="191"/>
      <c r="R164" s="191"/>
      <c r="S164" s="260"/>
      <c r="T164" s="260"/>
      <c r="U164" s="1381"/>
      <c r="V164" s="1381"/>
      <c r="W164" s="255"/>
      <c r="X164" s="191"/>
      <c r="Y164" s="191"/>
      <c r="Z164" s="191"/>
      <c r="AA164" s="191"/>
      <c r="AB164" s="191"/>
    </row>
    <row r="165" spans="1:28" ht="15.75" customHeight="1" thickBot="1">
      <c r="N165" s="1385"/>
      <c r="O165" s="1386"/>
      <c r="P165" s="1385"/>
      <c r="Q165" s="1385"/>
      <c r="R165" s="260"/>
      <c r="S165" s="257"/>
      <c r="T165" s="257"/>
      <c r="U165" s="1381"/>
      <c r="V165" s="1381"/>
      <c r="W165" s="255"/>
      <c r="X165" s="191"/>
      <c r="Y165" s="191"/>
      <c r="Z165" s="191"/>
      <c r="AA165" s="191"/>
      <c r="AB165" s="191"/>
    </row>
    <row r="166" spans="1:28" ht="15" customHeight="1">
      <c r="B166" s="1350" t="s">
        <v>0</v>
      </c>
      <c r="C166" s="1352" t="s">
        <v>337</v>
      </c>
      <c r="D166" s="1354" t="s">
        <v>444</v>
      </c>
      <c r="E166" s="1354" t="s">
        <v>338</v>
      </c>
      <c r="F166" s="1383" t="s">
        <v>339</v>
      </c>
      <c r="G166" s="1384"/>
      <c r="H166" s="1354" t="s">
        <v>383</v>
      </c>
      <c r="I166" s="1388" t="s">
        <v>98</v>
      </c>
      <c r="J166" s="1388" t="s">
        <v>340</v>
      </c>
      <c r="K166" s="1390" t="s">
        <v>341</v>
      </c>
      <c r="N166" s="1385"/>
      <c r="O166" s="1386"/>
      <c r="P166" s="1385"/>
      <c r="Q166" s="1385"/>
      <c r="R166" s="257"/>
      <c r="S166" s="257"/>
      <c r="T166" s="257"/>
      <c r="U166" s="255"/>
      <c r="V166" s="255"/>
      <c r="W166" s="190"/>
      <c r="X166" s="191"/>
      <c r="Y166" s="191"/>
      <c r="Z166" s="191"/>
      <c r="AA166" s="191"/>
      <c r="AB166" s="191"/>
    </row>
    <row r="167" spans="1:28">
      <c r="B167" s="1351"/>
      <c r="C167" s="1353"/>
      <c r="D167" s="1355"/>
      <c r="E167" s="1355"/>
      <c r="F167" s="164" t="s">
        <v>302</v>
      </c>
      <c r="G167" s="164" t="s">
        <v>303</v>
      </c>
      <c r="H167" s="1355"/>
      <c r="I167" s="1389"/>
      <c r="J167" s="1389"/>
      <c r="K167" s="1391"/>
      <c r="N167" s="257"/>
      <c r="O167" s="257"/>
      <c r="P167" s="257"/>
      <c r="Q167" s="257"/>
      <c r="R167" s="257"/>
      <c r="S167" s="257"/>
      <c r="T167" s="257"/>
      <c r="U167" s="255"/>
      <c r="V167" s="255"/>
      <c r="W167" s="190"/>
      <c r="X167" s="191"/>
      <c r="Y167" s="191"/>
      <c r="Z167" s="191"/>
      <c r="AA167" s="191"/>
    </row>
    <row r="168" spans="1:28">
      <c r="B168" s="295" t="s">
        <v>473</v>
      </c>
      <c r="C168" s="166">
        <v>1</v>
      </c>
      <c r="D168" s="166">
        <v>10</v>
      </c>
      <c r="E168" s="166">
        <v>2</v>
      </c>
      <c r="F168" s="166">
        <v>2.15</v>
      </c>
      <c r="G168" s="166">
        <v>2.6</v>
      </c>
      <c r="H168" s="166">
        <v>0.1</v>
      </c>
      <c r="I168" s="167">
        <f>C168*D168*E168*F168*G168*H168</f>
        <v>11.18</v>
      </c>
      <c r="J168" s="167">
        <f>C168*D168*E168*F168*G168</f>
        <v>111.8</v>
      </c>
      <c r="K168" s="168"/>
      <c r="N168" s="257"/>
      <c r="O168" s="257"/>
      <c r="P168" s="257"/>
      <c r="Q168" s="257"/>
      <c r="R168" s="257"/>
      <c r="S168" s="257"/>
      <c r="T168" s="257"/>
      <c r="U168" s="255"/>
      <c r="V168" s="255"/>
      <c r="W168" s="190"/>
      <c r="X168" s="191"/>
      <c r="Y168" s="191"/>
      <c r="Z168" s="191"/>
      <c r="AA168" s="191"/>
    </row>
    <row r="169" spans="1:28">
      <c r="B169" s="295" t="s">
        <v>397</v>
      </c>
      <c r="C169" s="166">
        <v>1</v>
      </c>
      <c r="D169" s="166">
        <v>10</v>
      </c>
      <c r="E169" s="166">
        <v>1</v>
      </c>
      <c r="F169" s="166">
        <v>12.9</v>
      </c>
      <c r="G169" s="166">
        <v>3</v>
      </c>
      <c r="H169" s="166">
        <v>0.1</v>
      </c>
      <c r="I169" s="167">
        <f>C169*D169*E169*F169*G169*H169</f>
        <v>38.700000000000003</v>
      </c>
      <c r="J169" s="167">
        <f>C169*D169*E169*F169*G169</f>
        <v>387</v>
      </c>
      <c r="K169" s="168"/>
      <c r="N169" s="257"/>
      <c r="O169" s="257"/>
      <c r="P169" s="257"/>
      <c r="Q169" s="257"/>
      <c r="R169" s="257"/>
      <c r="S169" s="257"/>
      <c r="T169" s="257"/>
      <c r="U169" s="255"/>
      <c r="V169" s="255"/>
      <c r="W169" s="191"/>
      <c r="X169" s="191"/>
      <c r="Y169" s="191"/>
      <c r="Z169" s="191"/>
      <c r="AA169" s="191"/>
    </row>
    <row r="170" spans="1:28" ht="15.75">
      <c r="A170" s="194"/>
      <c r="B170" s="1356" t="s">
        <v>110</v>
      </c>
      <c r="C170" s="1357"/>
      <c r="D170" s="1357"/>
      <c r="E170" s="1358"/>
      <c r="F170" s="166"/>
      <c r="G170" s="169"/>
      <c r="H170" s="169"/>
      <c r="I170" s="170">
        <f>SUM(I168:I169)</f>
        <v>49.88</v>
      </c>
      <c r="J170" s="170">
        <f>SUM(J168:J169)</f>
        <v>498.8</v>
      </c>
      <c r="K170" s="171"/>
      <c r="N170" s="257"/>
      <c r="O170" s="257"/>
      <c r="P170" s="257"/>
      <c r="Q170" s="261"/>
      <c r="R170" s="257"/>
      <c r="S170" s="191"/>
      <c r="T170" s="191"/>
      <c r="U170" s="190"/>
      <c r="V170" s="190"/>
      <c r="W170" s="191"/>
      <c r="X170" s="191"/>
      <c r="Y170" s="191"/>
      <c r="Z170" s="191"/>
      <c r="AA170" s="191"/>
    </row>
    <row r="171" spans="1:28">
      <c r="A171" s="163"/>
      <c r="B171" s="1356" t="s">
        <v>345</v>
      </c>
      <c r="C171" s="1357"/>
      <c r="D171" s="1357"/>
      <c r="E171" s="1358"/>
      <c r="F171" s="166"/>
      <c r="G171" s="169"/>
      <c r="H171" s="169"/>
      <c r="I171" s="170">
        <f>I170*0.05</f>
        <v>2.4940000000000002</v>
      </c>
      <c r="J171" s="170">
        <f>J170*0.05</f>
        <v>24.94</v>
      </c>
      <c r="K171" s="171"/>
      <c r="N171" s="1382"/>
      <c r="O171" s="1382"/>
      <c r="P171" s="1382"/>
      <c r="Q171" s="1382"/>
      <c r="R171" s="191"/>
      <c r="S171" s="191"/>
      <c r="T171" s="191"/>
      <c r="U171" s="190"/>
      <c r="V171" s="190"/>
      <c r="W171" s="191"/>
      <c r="X171" s="191"/>
      <c r="Y171" s="191"/>
      <c r="Z171" s="191"/>
      <c r="AA171" s="191"/>
    </row>
    <row r="172" spans="1:28" ht="15.75" thickBot="1">
      <c r="B172" s="1377" t="s">
        <v>346</v>
      </c>
      <c r="C172" s="1378"/>
      <c r="D172" s="1378"/>
      <c r="E172" s="1379"/>
      <c r="F172" s="172"/>
      <c r="G172" s="172"/>
      <c r="H172" s="172"/>
      <c r="I172" s="173">
        <f>SUM(I170:I171)</f>
        <v>52.374000000000002</v>
      </c>
      <c r="J172" s="173">
        <f>SUM(J170:J171)</f>
        <v>523.74</v>
      </c>
      <c r="K172" s="174"/>
      <c r="N172" s="1382"/>
      <c r="O172" s="1382"/>
      <c r="P172" s="1382"/>
      <c r="Q172" s="1382"/>
      <c r="R172" s="191"/>
      <c r="S172" s="191"/>
      <c r="T172" s="191"/>
      <c r="U172" s="190"/>
      <c r="V172" s="190"/>
      <c r="W172" s="191"/>
      <c r="X172" s="191"/>
      <c r="Y172" s="191"/>
      <c r="Z172" s="191"/>
      <c r="AA172" s="191"/>
    </row>
    <row r="173" spans="1:28">
      <c r="F173" s="250"/>
      <c r="N173" s="1382"/>
      <c r="O173" s="1382"/>
      <c r="P173" s="1382"/>
      <c r="Q173" s="1382"/>
      <c r="R173" s="191"/>
      <c r="S173" s="256"/>
      <c r="T173" s="191"/>
      <c r="U173" s="190"/>
      <c r="V173" s="190"/>
      <c r="W173" s="254"/>
      <c r="X173" s="191"/>
      <c r="Y173" s="191"/>
      <c r="Z173" s="191"/>
      <c r="AA173" s="191"/>
    </row>
    <row r="174" spans="1:28">
      <c r="F174" s="250"/>
      <c r="N174" s="188"/>
      <c r="O174" s="188"/>
      <c r="P174" s="188"/>
      <c r="Q174" s="188"/>
      <c r="R174" s="191"/>
      <c r="S174" s="256"/>
      <c r="T174" s="191"/>
      <c r="U174" s="190"/>
      <c r="V174" s="190"/>
      <c r="W174" s="254"/>
      <c r="X174" s="191"/>
      <c r="Y174" s="191"/>
      <c r="Z174" s="191"/>
      <c r="AA174" s="191"/>
    </row>
    <row r="175" spans="1:28">
      <c r="B175" s="229" t="s">
        <v>452</v>
      </c>
      <c r="C175" s="230"/>
      <c r="D175" s="230"/>
      <c r="E175" s="230"/>
      <c r="N175" s="188"/>
      <c r="O175" s="188"/>
      <c r="P175" s="188"/>
      <c r="Q175" s="188"/>
      <c r="R175" s="191"/>
      <c r="S175" s="256"/>
      <c r="T175" s="191"/>
      <c r="U175" s="190"/>
      <c r="V175" s="190"/>
      <c r="W175" s="254"/>
      <c r="X175" s="191"/>
      <c r="Y175" s="191"/>
      <c r="Z175" s="191"/>
      <c r="AA175" s="191"/>
    </row>
    <row r="176" spans="1:28" ht="15.75" thickBot="1">
      <c r="N176" s="191"/>
      <c r="O176" s="256"/>
      <c r="P176" s="191"/>
      <c r="Q176" s="256"/>
      <c r="R176" s="191"/>
      <c r="S176" s="191"/>
      <c r="T176" s="191"/>
      <c r="U176" s="191"/>
      <c r="V176" s="191"/>
      <c r="W176" s="191"/>
      <c r="X176" s="191"/>
      <c r="Y176" s="191"/>
      <c r="Z176" s="191"/>
      <c r="AA176" s="191"/>
    </row>
    <row r="177" spans="1:27" ht="15" customHeight="1">
      <c r="B177" s="1350" t="s">
        <v>0</v>
      </c>
      <c r="C177" s="1352" t="s">
        <v>337</v>
      </c>
      <c r="D177" s="1354" t="s">
        <v>444</v>
      </c>
      <c r="E177" s="1354" t="s">
        <v>338</v>
      </c>
      <c r="F177" s="1383" t="s">
        <v>339</v>
      </c>
      <c r="G177" s="1384"/>
      <c r="H177" s="1354" t="s">
        <v>383</v>
      </c>
      <c r="I177" s="1388" t="s">
        <v>98</v>
      </c>
      <c r="J177" s="1388" t="s">
        <v>340</v>
      </c>
      <c r="K177" s="1390" t="s">
        <v>341</v>
      </c>
      <c r="N177" s="191"/>
      <c r="O177" s="191"/>
      <c r="P177" s="191"/>
      <c r="Q177" s="191"/>
      <c r="R177" s="191"/>
      <c r="S177" s="191"/>
      <c r="T177" s="191"/>
      <c r="U177" s="191"/>
      <c r="V177" s="191"/>
      <c r="W177" s="1381"/>
      <c r="X177" s="191"/>
      <c r="Y177" s="191"/>
      <c r="Z177" s="191"/>
      <c r="AA177" s="191"/>
    </row>
    <row r="178" spans="1:27">
      <c r="B178" s="1351"/>
      <c r="C178" s="1353"/>
      <c r="D178" s="1355"/>
      <c r="E178" s="1355"/>
      <c r="F178" s="164" t="s">
        <v>302</v>
      </c>
      <c r="G178" s="164" t="s">
        <v>303</v>
      </c>
      <c r="H178" s="1355"/>
      <c r="I178" s="1389"/>
      <c r="J178" s="1389"/>
      <c r="K178" s="1391"/>
      <c r="N178" s="1387"/>
      <c r="O178" s="1387"/>
      <c r="P178" s="1387"/>
      <c r="Q178" s="1387"/>
      <c r="R178" s="191"/>
      <c r="S178" s="254"/>
      <c r="T178" s="254"/>
      <c r="U178" s="254"/>
      <c r="V178" s="254"/>
      <c r="W178" s="1381"/>
      <c r="X178" s="191"/>
      <c r="Y178" s="191"/>
      <c r="Z178" s="191"/>
      <c r="AA178" s="191"/>
    </row>
    <row r="179" spans="1:27">
      <c r="B179" s="165" t="s">
        <v>396</v>
      </c>
      <c r="C179" s="166">
        <v>1</v>
      </c>
      <c r="D179" s="166">
        <v>10</v>
      </c>
      <c r="E179" s="166">
        <v>2</v>
      </c>
      <c r="F179" s="166">
        <v>4</v>
      </c>
      <c r="G179" s="166">
        <v>4</v>
      </c>
      <c r="H179" s="166">
        <v>0.1</v>
      </c>
      <c r="I179" s="167">
        <f>C179*D179*E179*F179*G179*H179</f>
        <v>32</v>
      </c>
      <c r="J179" s="167">
        <f>C179*D179*E179*F179*G179</f>
        <v>320</v>
      </c>
      <c r="K179" s="168"/>
      <c r="N179" s="259"/>
      <c r="O179" s="254"/>
      <c r="P179" s="254"/>
      <c r="Q179" s="254"/>
      <c r="R179" s="254"/>
      <c r="S179" s="191"/>
      <c r="T179" s="191"/>
      <c r="U179" s="191"/>
      <c r="V179" s="191"/>
      <c r="W179" s="255"/>
      <c r="X179" s="191"/>
      <c r="Y179" s="191"/>
      <c r="Z179" s="191"/>
      <c r="AA179" s="191"/>
    </row>
    <row r="180" spans="1:27">
      <c r="B180" s="165" t="s">
        <v>397</v>
      </c>
      <c r="C180" s="166">
        <v>1</v>
      </c>
      <c r="D180" s="166">
        <v>10</v>
      </c>
      <c r="E180" s="166">
        <v>2</v>
      </c>
      <c r="F180" s="166">
        <v>7</v>
      </c>
      <c r="G180" s="166">
        <v>2</v>
      </c>
      <c r="H180" s="166">
        <v>0.1</v>
      </c>
      <c r="I180" s="167">
        <f>C180*D180*E180*F180*G180*H180</f>
        <v>28</v>
      </c>
      <c r="J180" s="167">
        <f>C180*D180*E180*F180*G180</f>
        <v>280</v>
      </c>
      <c r="K180" s="168"/>
      <c r="N180" s="191"/>
      <c r="O180" s="191"/>
      <c r="P180" s="191"/>
      <c r="Q180" s="191"/>
      <c r="R180" s="191"/>
      <c r="S180" s="260"/>
      <c r="T180" s="260"/>
      <c r="U180" s="1381"/>
      <c r="V180" s="1381"/>
      <c r="W180" s="255"/>
      <c r="X180" s="191"/>
      <c r="Y180" s="191"/>
      <c r="Z180" s="191"/>
      <c r="AA180" s="191"/>
    </row>
    <row r="181" spans="1:27" ht="15" customHeight="1">
      <c r="B181" s="165" t="s">
        <v>454</v>
      </c>
      <c r="C181" s="166">
        <v>1</v>
      </c>
      <c r="D181" s="166">
        <v>10</v>
      </c>
      <c r="E181" s="166">
        <v>2</v>
      </c>
      <c r="F181" s="166">
        <v>4.3</v>
      </c>
      <c r="G181" s="166">
        <v>2.2000000000000002</v>
      </c>
      <c r="H181" s="166">
        <v>0.1</v>
      </c>
      <c r="I181" s="167">
        <f>C181*D181*E181*F181*G181*H181</f>
        <v>18.920000000000002</v>
      </c>
      <c r="J181" s="167">
        <f>C181*D181*E181*F181*G181</f>
        <v>189.20000000000002</v>
      </c>
      <c r="K181" s="168"/>
      <c r="N181" s="1385"/>
      <c r="O181" s="1386"/>
      <c r="P181" s="1385"/>
      <c r="Q181" s="1385"/>
      <c r="R181" s="260"/>
      <c r="S181" s="257"/>
      <c r="T181" s="257"/>
      <c r="U181" s="1381"/>
      <c r="V181" s="1381"/>
      <c r="W181" s="255"/>
      <c r="X181" s="191"/>
      <c r="Y181" s="191"/>
      <c r="Z181" s="191"/>
      <c r="AA181" s="191"/>
    </row>
    <row r="182" spans="1:27">
      <c r="B182" s="165" t="s">
        <v>455</v>
      </c>
      <c r="C182" s="166">
        <v>1</v>
      </c>
      <c r="D182" s="166">
        <v>10</v>
      </c>
      <c r="E182" s="166">
        <v>2</v>
      </c>
      <c r="F182" s="166">
        <v>5.4</v>
      </c>
      <c r="G182" s="166">
        <v>2.6</v>
      </c>
      <c r="H182" s="166">
        <v>0.1</v>
      </c>
      <c r="I182" s="167">
        <f>C182*D182*E182*F182*G182*H182</f>
        <v>28.080000000000002</v>
      </c>
      <c r="J182" s="167">
        <f>C182*D182*E182*F182*G182</f>
        <v>280.8</v>
      </c>
      <c r="K182" s="168"/>
      <c r="N182" s="1385"/>
      <c r="O182" s="1386"/>
      <c r="P182" s="1385"/>
      <c r="Q182" s="1385"/>
      <c r="R182" s="257"/>
      <c r="S182" s="257"/>
      <c r="T182" s="257"/>
      <c r="U182" s="255"/>
      <c r="V182" s="255"/>
      <c r="W182" s="255"/>
      <c r="X182" s="191"/>
      <c r="Y182" s="191"/>
      <c r="Z182" s="191"/>
      <c r="AA182" s="191"/>
    </row>
    <row r="183" spans="1:27">
      <c r="B183" s="165" t="s">
        <v>456</v>
      </c>
      <c r="C183" s="166">
        <v>1</v>
      </c>
      <c r="D183" s="166">
        <v>10</v>
      </c>
      <c r="E183" s="166">
        <v>2</v>
      </c>
      <c r="F183" s="166">
        <v>6.5</v>
      </c>
      <c r="G183" s="166">
        <v>4.8</v>
      </c>
      <c r="H183" s="166">
        <v>0.1</v>
      </c>
      <c r="I183" s="167">
        <f>C183*D183*E183*F183*G183*H183</f>
        <v>62.400000000000006</v>
      </c>
      <c r="J183" s="167">
        <f>C183*D183*E183*F183*G183</f>
        <v>624</v>
      </c>
      <c r="K183" s="168"/>
      <c r="N183" s="257"/>
      <c r="O183" s="257"/>
      <c r="P183" s="257"/>
      <c r="Q183" s="257"/>
      <c r="R183" s="257"/>
      <c r="S183" s="257"/>
      <c r="T183" s="257"/>
      <c r="U183" s="255"/>
      <c r="V183" s="255"/>
      <c r="W183" s="255"/>
      <c r="X183" s="191"/>
      <c r="Y183" s="191"/>
      <c r="Z183" s="191"/>
      <c r="AA183" s="191"/>
    </row>
    <row r="184" spans="1:27">
      <c r="B184" s="1356" t="s">
        <v>110</v>
      </c>
      <c r="C184" s="1357"/>
      <c r="D184" s="1357"/>
      <c r="E184" s="1358"/>
      <c r="F184" s="166"/>
      <c r="G184" s="169"/>
      <c r="H184" s="169"/>
      <c r="I184" s="170">
        <f>SUM(I179:I183)</f>
        <v>169.4</v>
      </c>
      <c r="J184" s="170">
        <f>SUM(J179:J183)</f>
        <v>1694</v>
      </c>
      <c r="K184" s="171"/>
      <c r="N184" s="257"/>
      <c r="O184" s="257"/>
      <c r="P184" s="257"/>
      <c r="Q184" s="257"/>
      <c r="R184" s="257"/>
      <c r="S184" s="257"/>
      <c r="T184" s="257"/>
      <c r="U184" s="255"/>
      <c r="V184" s="255"/>
      <c r="W184" s="255"/>
      <c r="X184" s="191"/>
      <c r="Y184" s="191"/>
      <c r="Z184" s="191"/>
      <c r="AA184" s="191"/>
    </row>
    <row r="185" spans="1:27">
      <c r="B185" s="1356" t="s">
        <v>345</v>
      </c>
      <c r="C185" s="1357"/>
      <c r="D185" s="1357"/>
      <c r="E185" s="1358"/>
      <c r="F185" s="166"/>
      <c r="G185" s="169"/>
      <c r="H185" s="169"/>
      <c r="I185" s="170">
        <f>I184*0.05</f>
        <v>8.4700000000000006</v>
      </c>
      <c r="J185" s="170">
        <f>J184*0.05</f>
        <v>84.7</v>
      </c>
      <c r="K185" s="171"/>
      <c r="N185" s="257"/>
      <c r="O185" s="257"/>
      <c r="P185" s="257"/>
      <c r="Q185" s="257"/>
      <c r="R185" s="257"/>
      <c r="S185" s="257"/>
      <c r="T185" s="257"/>
      <c r="U185" s="255"/>
      <c r="V185" s="255"/>
      <c r="W185" s="255"/>
      <c r="X185" s="191"/>
      <c r="Y185" s="191"/>
      <c r="Z185" s="191"/>
      <c r="AA185" s="191"/>
    </row>
    <row r="186" spans="1:27" ht="15.75" thickBot="1">
      <c r="B186" s="1377" t="s">
        <v>346</v>
      </c>
      <c r="C186" s="1378"/>
      <c r="D186" s="1378"/>
      <c r="E186" s="1379"/>
      <c r="F186" s="172"/>
      <c r="G186" s="172"/>
      <c r="H186" s="172"/>
      <c r="I186" s="173">
        <f>SUM(I184:I185)</f>
        <v>177.87</v>
      </c>
      <c r="J186" s="173">
        <f>SUM(J184:J185)</f>
        <v>1778.7</v>
      </c>
      <c r="K186" s="174"/>
      <c r="N186" s="257"/>
      <c r="O186" s="257"/>
      <c r="P186" s="257"/>
      <c r="Q186" s="257"/>
      <c r="R186" s="257"/>
      <c r="S186" s="257"/>
      <c r="T186" s="257"/>
      <c r="U186" s="255"/>
      <c r="V186" s="255"/>
      <c r="W186" s="190"/>
      <c r="X186" s="191"/>
      <c r="Y186" s="191"/>
      <c r="Z186" s="191"/>
      <c r="AA186" s="191"/>
    </row>
    <row r="187" spans="1:27">
      <c r="F187" s="250"/>
      <c r="N187" s="257"/>
      <c r="O187" s="257"/>
      <c r="P187" s="257"/>
      <c r="Q187" s="257"/>
      <c r="R187" s="257"/>
      <c r="S187" s="257"/>
      <c r="T187" s="257"/>
      <c r="U187" s="255"/>
      <c r="V187" s="255"/>
      <c r="W187" s="190"/>
      <c r="X187" s="191"/>
      <c r="Y187" s="191"/>
      <c r="Z187" s="191"/>
      <c r="AA187" s="191"/>
    </row>
    <row r="188" spans="1:27" ht="15.75" thickBot="1">
      <c r="F188" s="250"/>
      <c r="N188" s="257"/>
      <c r="O188" s="257"/>
      <c r="P188" s="257"/>
      <c r="Q188" s="257"/>
      <c r="R188" s="257"/>
      <c r="S188" s="257"/>
      <c r="T188" s="257"/>
      <c r="U188" s="255"/>
      <c r="V188" s="255"/>
      <c r="W188" s="190"/>
      <c r="X188" s="191"/>
      <c r="Y188" s="191"/>
      <c r="Z188" s="191"/>
      <c r="AA188" s="191"/>
    </row>
    <row r="189" spans="1:27" ht="16.5" thickBot="1">
      <c r="A189" s="192" t="s">
        <v>398</v>
      </c>
      <c r="B189" s="193" t="s">
        <v>399</v>
      </c>
      <c r="C189" s="177">
        <f>J172+J186</f>
        <v>2302.44</v>
      </c>
      <c r="N189" s="257"/>
      <c r="O189" s="257"/>
      <c r="P189" s="257"/>
      <c r="Q189" s="262"/>
      <c r="R189" s="257"/>
      <c r="S189" s="191"/>
      <c r="T189" s="191"/>
      <c r="U189" s="190"/>
      <c r="V189" s="190"/>
      <c r="W189" s="190"/>
      <c r="X189" s="191"/>
      <c r="Y189" s="191"/>
      <c r="Z189" s="191"/>
      <c r="AA189" s="191"/>
    </row>
    <row r="190" spans="1:27" ht="15.75" thickBot="1">
      <c r="B190" s="195"/>
      <c r="C190" s="182"/>
      <c r="N190" s="1382"/>
      <c r="O190" s="1382"/>
      <c r="P190" s="1382"/>
      <c r="Q190" s="1382"/>
      <c r="R190" s="191"/>
      <c r="S190" s="191"/>
      <c r="T190" s="191"/>
      <c r="U190" s="190"/>
      <c r="V190" s="190"/>
      <c r="W190" s="191"/>
      <c r="X190" s="191"/>
      <c r="Y190" s="191"/>
      <c r="Z190" s="191"/>
      <c r="AA190" s="191"/>
    </row>
    <row r="191" spans="1:27" ht="15.75" thickBot="1">
      <c r="B191" s="193" t="s">
        <v>463</v>
      </c>
      <c r="C191" s="177">
        <f>I186+I172</f>
        <v>230.244</v>
      </c>
      <c r="N191" s="258"/>
      <c r="O191" s="258"/>
      <c r="P191" s="258"/>
      <c r="Q191" s="258"/>
      <c r="R191" s="191"/>
      <c r="S191" s="191"/>
      <c r="T191" s="191"/>
      <c r="U191" s="190"/>
      <c r="V191" s="190"/>
      <c r="W191" s="191"/>
      <c r="X191" s="191"/>
      <c r="Y191" s="191"/>
      <c r="Z191" s="191"/>
      <c r="AA191" s="191"/>
    </row>
    <row r="192" spans="1:27">
      <c r="B192" s="195"/>
      <c r="C192" s="182"/>
      <c r="N192" s="258"/>
      <c r="O192" s="258"/>
      <c r="P192" s="258"/>
      <c r="Q192" s="258"/>
      <c r="R192" s="191"/>
      <c r="S192" s="191"/>
      <c r="T192" s="191"/>
      <c r="U192" s="190"/>
      <c r="V192" s="190"/>
      <c r="W192" s="191"/>
      <c r="X192" s="191"/>
      <c r="Y192" s="191"/>
      <c r="Z192" s="191"/>
      <c r="AA192" s="191"/>
    </row>
    <row r="193" spans="2:28">
      <c r="B193" s="178" t="s">
        <v>400</v>
      </c>
      <c r="N193" s="1382"/>
      <c r="O193" s="1382"/>
      <c r="P193" s="1382"/>
      <c r="Q193" s="1382"/>
      <c r="R193" s="191"/>
      <c r="S193" s="191"/>
      <c r="T193" s="191"/>
      <c r="U193" s="190"/>
      <c r="V193" s="190"/>
      <c r="W193" s="191"/>
      <c r="X193" s="191"/>
      <c r="Y193" s="191"/>
      <c r="Z193" s="191"/>
      <c r="AA193" s="191"/>
    </row>
    <row r="194" spans="2:28">
      <c r="B194" s="178"/>
      <c r="N194" s="1382"/>
      <c r="O194" s="1382"/>
      <c r="P194" s="1382"/>
      <c r="Q194" s="1382"/>
      <c r="R194" s="191"/>
      <c r="S194" s="256"/>
      <c r="T194" s="191"/>
      <c r="U194" s="190"/>
      <c r="V194" s="190"/>
      <c r="W194" s="254"/>
      <c r="X194" s="191"/>
      <c r="Y194" s="191"/>
      <c r="Z194" s="191"/>
      <c r="AA194" s="191"/>
    </row>
    <row r="195" spans="2:28">
      <c r="B195" s="1380" t="s">
        <v>461</v>
      </c>
      <c r="C195" s="1380"/>
      <c r="D195" s="1380"/>
      <c r="E195" s="1380"/>
      <c r="N195" s="191"/>
      <c r="O195" s="256"/>
      <c r="P195" s="191"/>
      <c r="Q195" s="256"/>
      <c r="R195" s="191"/>
      <c r="S195" s="191"/>
      <c r="T195" s="191"/>
      <c r="U195" s="191"/>
      <c r="V195" s="191"/>
      <c r="W195" s="191"/>
      <c r="X195" s="191"/>
      <c r="Y195" s="191"/>
      <c r="Z195" s="191"/>
      <c r="AA195" s="191"/>
    </row>
    <row r="196" spans="2:28">
      <c r="B196" s="249" t="s">
        <v>459</v>
      </c>
      <c r="C196" s="226"/>
      <c r="D196" s="226"/>
      <c r="E196" s="226"/>
      <c r="N196" s="191"/>
      <c r="O196" s="191"/>
      <c r="P196" s="191"/>
      <c r="Q196" s="191"/>
      <c r="R196" s="191"/>
      <c r="S196" s="191"/>
      <c r="T196" s="191"/>
      <c r="U196" s="191"/>
      <c r="V196" s="191"/>
      <c r="W196" s="1381"/>
      <c r="X196" s="191"/>
      <c r="Y196" s="191"/>
      <c r="Z196" s="191"/>
      <c r="AA196" s="191"/>
    </row>
    <row r="197" spans="2:28" ht="15.75" thickBot="1">
      <c r="N197" s="1387"/>
      <c r="O197" s="1387"/>
      <c r="P197" s="1387"/>
      <c r="Q197" s="1387"/>
      <c r="R197" s="191"/>
      <c r="S197" s="254"/>
      <c r="T197" s="254"/>
      <c r="U197" s="254"/>
      <c r="V197" s="254"/>
      <c r="W197" s="1381"/>
      <c r="X197" s="191"/>
      <c r="Y197" s="191"/>
      <c r="Z197" s="191"/>
      <c r="AA197" s="191"/>
    </row>
    <row r="198" spans="2:28" ht="15.75" customHeight="1">
      <c r="B198" s="1350" t="s">
        <v>367</v>
      </c>
      <c r="C198" s="1352" t="s">
        <v>337</v>
      </c>
      <c r="D198" s="1354" t="s">
        <v>444</v>
      </c>
      <c r="E198" s="1354" t="s">
        <v>368</v>
      </c>
      <c r="F198" s="1383" t="s">
        <v>339</v>
      </c>
      <c r="G198" s="1384"/>
      <c r="H198" s="298" t="s">
        <v>482</v>
      </c>
      <c r="I198" s="1354" t="s">
        <v>369</v>
      </c>
      <c r="J198" s="1388" t="s">
        <v>98</v>
      </c>
      <c r="K198" s="1367" t="s">
        <v>341</v>
      </c>
      <c r="L198" s="1347" t="s">
        <v>340</v>
      </c>
      <c r="M198" s="1347" t="s">
        <v>483</v>
      </c>
      <c r="O198" s="259"/>
      <c r="P198" s="254"/>
      <c r="Q198" s="254"/>
      <c r="R198" s="254"/>
      <c r="S198" s="254"/>
      <c r="T198" s="191"/>
      <c r="U198" s="191"/>
      <c r="V198" s="191"/>
      <c r="W198" s="191"/>
      <c r="X198" s="255"/>
      <c r="Y198" s="191"/>
      <c r="Z198" s="191"/>
      <c r="AA198" s="191"/>
      <c r="AB198" s="191"/>
    </row>
    <row r="199" spans="2:28">
      <c r="B199" s="1351"/>
      <c r="C199" s="1353"/>
      <c r="D199" s="1355"/>
      <c r="E199" s="1355"/>
      <c r="F199" s="164" t="s">
        <v>302</v>
      </c>
      <c r="G199" s="164" t="s">
        <v>303</v>
      </c>
      <c r="H199" s="297"/>
      <c r="I199" s="1395"/>
      <c r="J199" s="1389"/>
      <c r="K199" s="1370"/>
      <c r="L199" s="1347"/>
      <c r="M199" s="1347"/>
      <c r="O199" s="191"/>
      <c r="P199" s="191"/>
      <c r="Q199" s="191"/>
      <c r="R199" s="191"/>
      <c r="S199" s="191"/>
      <c r="T199" s="260"/>
      <c r="U199" s="260"/>
      <c r="V199" s="1381"/>
      <c r="W199" s="1381"/>
      <c r="X199" s="255"/>
      <c r="Y199" s="191"/>
      <c r="Z199" s="191"/>
      <c r="AA199" s="191"/>
      <c r="AB199" s="191"/>
    </row>
    <row r="200" spans="2:28" ht="15" customHeight="1">
      <c r="B200" s="165" t="s">
        <v>402</v>
      </c>
      <c r="C200" s="166">
        <v>1</v>
      </c>
      <c r="D200" s="166">
        <v>10</v>
      </c>
      <c r="E200" s="166">
        <v>8</v>
      </c>
      <c r="F200" s="166">
        <v>0.2</v>
      </c>
      <c r="G200" s="166">
        <v>0.4</v>
      </c>
      <c r="H200" s="166">
        <v>3</v>
      </c>
      <c r="I200" s="166">
        <v>2</v>
      </c>
      <c r="J200" s="167">
        <f t="shared" ref="J200:J205" si="2">C200*D200*E200*F200*G200</f>
        <v>6.4</v>
      </c>
      <c r="K200" s="299">
        <f t="shared" ref="K200:K205" si="3">C200*D200*E200*G200*I200</f>
        <v>64</v>
      </c>
      <c r="L200" s="167">
        <f t="shared" ref="L200:L205" si="4">C200*D200*E200*F200</f>
        <v>16</v>
      </c>
      <c r="M200" s="167">
        <f t="shared" ref="M200:M205" si="5">C200*D200*E200*H200</f>
        <v>240</v>
      </c>
      <c r="O200" s="1385"/>
      <c r="P200" s="1386"/>
      <c r="Q200" s="1385"/>
      <c r="R200" s="1385"/>
      <c r="S200" s="260"/>
      <c r="T200" s="257"/>
      <c r="U200" s="257"/>
      <c r="V200" s="1381"/>
      <c r="W200" s="1381"/>
      <c r="X200" s="255"/>
      <c r="Y200" s="191"/>
      <c r="Z200" s="191"/>
      <c r="AA200" s="191"/>
      <c r="AB200" s="191"/>
    </row>
    <row r="201" spans="2:28">
      <c r="B201" s="165" t="s">
        <v>403</v>
      </c>
      <c r="C201" s="166">
        <v>1</v>
      </c>
      <c r="D201" s="166">
        <v>10</v>
      </c>
      <c r="E201" s="166">
        <v>48</v>
      </c>
      <c r="F201" s="166">
        <v>0.2</v>
      </c>
      <c r="G201" s="166">
        <v>0.6</v>
      </c>
      <c r="H201" s="166">
        <v>3</v>
      </c>
      <c r="I201" s="166">
        <v>2</v>
      </c>
      <c r="J201" s="167">
        <f t="shared" si="2"/>
        <v>57.599999999999994</v>
      </c>
      <c r="K201" s="299">
        <f t="shared" si="3"/>
        <v>576</v>
      </c>
      <c r="L201" s="167">
        <f t="shared" si="4"/>
        <v>96</v>
      </c>
      <c r="M201" s="167">
        <f t="shared" si="5"/>
        <v>1440</v>
      </c>
      <c r="O201" s="1385"/>
      <c r="P201" s="1386"/>
      <c r="Q201" s="1385"/>
      <c r="R201" s="1385"/>
      <c r="S201" s="257"/>
      <c r="T201" s="257"/>
      <c r="U201" s="257"/>
      <c r="V201" s="255"/>
      <c r="W201" s="255"/>
      <c r="X201" s="255"/>
      <c r="Y201" s="191"/>
      <c r="Z201" s="191"/>
      <c r="AA201" s="191"/>
      <c r="AB201" s="191"/>
    </row>
    <row r="202" spans="2:28">
      <c r="B202" s="165" t="s">
        <v>457</v>
      </c>
      <c r="C202" s="166">
        <v>1</v>
      </c>
      <c r="D202" s="166">
        <v>10</v>
      </c>
      <c r="E202" s="166">
        <v>4</v>
      </c>
      <c r="F202" s="166">
        <v>0.2</v>
      </c>
      <c r="G202" s="166">
        <v>0.6</v>
      </c>
      <c r="H202" s="166">
        <v>3</v>
      </c>
      <c r="I202" s="166">
        <v>2</v>
      </c>
      <c r="J202" s="167">
        <f t="shared" si="2"/>
        <v>4.8</v>
      </c>
      <c r="K202" s="299">
        <f t="shared" si="3"/>
        <v>48</v>
      </c>
      <c r="L202" s="167">
        <f t="shared" si="4"/>
        <v>8</v>
      </c>
      <c r="M202" s="167">
        <f t="shared" si="5"/>
        <v>120</v>
      </c>
      <c r="O202" s="257"/>
      <c r="P202" s="257"/>
      <c r="Q202" s="257"/>
      <c r="R202" s="257"/>
      <c r="S202" s="257"/>
      <c r="T202" s="257"/>
      <c r="U202" s="257"/>
      <c r="V202" s="255"/>
      <c r="W202" s="255"/>
      <c r="X202" s="255"/>
      <c r="Y202" s="191"/>
      <c r="Z202" s="191"/>
      <c r="AA202" s="191"/>
      <c r="AB202" s="191"/>
    </row>
    <row r="203" spans="2:28">
      <c r="B203" s="165" t="s">
        <v>458</v>
      </c>
      <c r="C203" s="166">
        <v>1</v>
      </c>
      <c r="D203" s="166">
        <v>10</v>
      </c>
      <c r="E203" s="166">
        <v>61.4</v>
      </c>
      <c r="F203" s="166">
        <v>0.2</v>
      </c>
      <c r="G203" s="166">
        <v>0.6</v>
      </c>
      <c r="H203" s="166">
        <v>3</v>
      </c>
      <c r="I203" s="166">
        <v>2</v>
      </c>
      <c r="J203" s="167">
        <f t="shared" si="2"/>
        <v>73.680000000000007</v>
      </c>
      <c r="K203" s="299">
        <f t="shared" si="3"/>
        <v>736.8</v>
      </c>
      <c r="L203" s="167">
        <f t="shared" si="4"/>
        <v>122.80000000000001</v>
      </c>
      <c r="M203" s="167">
        <f t="shared" si="5"/>
        <v>1842</v>
      </c>
      <c r="O203" s="257"/>
      <c r="P203" s="257"/>
      <c r="Q203" s="257"/>
      <c r="R203" s="257"/>
      <c r="S203" s="257"/>
      <c r="T203" s="257"/>
      <c r="U203" s="257"/>
      <c r="V203" s="255"/>
      <c r="W203" s="255"/>
      <c r="X203" s="255"/>
      <c r="Y203" s="191"/>
      <c r="Z203" s="191"/>
      <c r="AA203" s="191"/>
      <c r="AB203" s="191"/>
    </row>
    <row r="204" spans="2:28">
      <c r="B204" s="165" t="s">
        <v>404</v>
      </c>
      <c r="C204" s="166">
        <v>1</v>
      </c>
      <c r="D204" s="166">
        <v>10</v>
      </c>
      <c r="E204" s="166">
        <v>14.4</v>
      </c>
      <c r="F204" s="166">
        <v>0.2</v>
      </c>
      <c r="G204" s="166">
        <v>0.6</v>
      </c>
      <c r="H204" s="166">
        <v>3</v>
      </c>
      <c r="I204" s="166">
        <v>2</v>
      </c>
      <c r="J204" s="167">
        <f t="shared" si="2"/>
        <v>17.28</v>
      </c>
      <c r="K204" s="299">
        <f t="shared" si="3"/>
        <v>172.79999999999998</v>
      </c>
      <c r="L204" s="167">
        <f t="shared" si="4"/>
        <v>28.8</v>
      </c>
      <c r="M204" s="167">
        <f t="shared" si="5"/>
        <v>432</v>
      </c>
      <c r="O204" s="257"/>
      <c r="P204" s="257"/>
      <c r="Q204" s="257"/>
      <c r="R204" s="257"/>
      <c r="S204" s="257"/>
      <c r="T204" s="257"/>
      <c r="U204" s="257"/>
      <c r="V204" s="255"/>
      <c r="W204" s="255"/>
      <c r="X204" s="255"/>
      <c r="Y204" s="191"/>
      <c r="Z204" s="191"/>
      <c r="AA204" s="191"/>
      <c r="AB204" s="191"/>
    </row>
    <row r="205" spans="2:28">
      <c r="B205" s="165" t="s">
        <v>405</v>
      </c>
      <c r="C205" s="166">
        <v>1</v>
      </c>
      <c r="D205" s="166">
        <v>10</v>
      </c>
      <c r="E205" s="166">
        <v>22.5</v>
      </c>
      <c r="F205" s="166">
        <v>0.2</v>
      </c>
      <c r="G205" s="166">
        <v>0.6</v>
      </c>
      <c r="H205" s="166">
        <v>3</v>
      </c>
      <c r="I205" s="166">
        <v>2</v>
      </c>
      <c r="J205" s="167">
        <f t="shared" si="2"/>
        <v>27</v>
      </c>
      <c r="K205" s="299">
        <f t="shared" si="3"/>
        <v>270</v>
      </c>
      <c r="L205" s="167">
        <f t="shared" si="4"/>
        <v>45</v>
      </c>
      <c r="M205" s="167">
        <f t="shared" si="5"/>
        <v>675</v>
      </c>
      <c r="O205" s="257"/>
      <c r="P205" s="257"/>
      <c r="Q205" s="257"/>
      <c r="R205" s="257"/>
      <c r="S205" s="257"/>
      <c r="T205" s="257"/>
      <c r="U205" s="257"/>
      <c r="V205" s="255"/>
      <c r="W205" s="255"/>
      <c r="X205" s="190"/>
      <c r="Y205" s="191"/>
      <c r="Z205" s="191"/>
      <c r="AA205" s="191"/>
      <c r="AB205" s="191"/>
    </row>
    <row r="206" spans="2:28">
      <c r="B206" s="165" t="s">
        <v>406</v>
      </c>
      <c r="C206" s="166"/>
      <c r="D206" s="166"/>
      <c r="E206" s="201">
        <f>SUM(E200:E205)</f>
        <v>158.30000000000001</v>
      </c>
      <c r="F206" s="166"/>
      <c r="G206" s="166"/>
      <c r="H206" s="166"/>
      <c r="I206" s="167"/>
      <c r="J206" s="167"/>
      <c r="K206" s="299"/>
      <c r="L206" s="169"/>
      <c r="M206" s="302">
        <f>SUM(M200:M205)</f>
        <v>4749</v>
      </c>
      <c r="N206" s="257"/>
      <c r="O206" s="257"/>
      <c r="P206" s="257"/>
      <c r="Q206" s="257"/>
      <c r="R206" s="257"/>
      <c r="S206" s="257"/>
      <c r="T206" s="257"/>
      <c r="U206" s="255"/>
      <c r="V206" s="255"/>
      <c r="W206" s="190"/>
      <c r="X206" s="191"/>
      <c r="Y206" s="191"/>
      <c r="Z206" s="191"/>
      <c r="AA206" s="191"/>
    </row>
    <row r="207" spans="2:28">
      <c r="B207" s="253" t="s">
        <v>460</v>
      </c>
      <c r="C207" s="166"/>
      <c r="D207" s="166"/>
      <c r="E207" s="264"/>
      <c r="F207" s="166"/>
      <c r="G207" s="166"/>
      <c r="H207" s="166"/>
      <c r="I207" s="167"/>
      <c r="J207" s="167"/>
      <c r="K207" s="299"/>
      <c r="L207" s="169"/>
      <c r="M207" s="169"/>
      <c r="N207" s="257"/>
      <c r="O207" s="257"/>
      <c r="P207" s="257"/>
      <c r="Q207" s="257"/>
      <c r="R207" s="257"/>
      <c r="S207" s="257"/>
      <c r="T207" s="257"/>
      <c r="U207" s="255"/>
      <c r="V207" s="255"/>
      <c r="W207" s="190"/>
      <c r="X207" s="191"/>
      <c r="Y207" s="191"/>
      <c r="Z207" s="191"/>
      <c r="AA207" s="191"/>
    </row>
    <row r="208" spans="2:28">
      <c r="B208" s="1356" t="s">
        <v>110</v>
      </c>
      <c r="C208" s="1357"/>
      <c r="D208" s="1357"/>
      <c r="E208" s="1358"/>
      <c r="F208" s="169"/>
      <c r="G208" s="169"/>
      <c r="H208" s="169"/>
      <c r="I208" s="170">
        <f>SUM(I200:I206)</f>
        <v>12</v>
      </c>
      <c r="J208" s="170">
        <f>SUM(J200:J206)</f>
        <v>186.76000000000002</v>
      </c>
      <c r="K208" s="300">
        <f>SUM(K200:K206)</f>
        <v>1867.6</v>
      </c>
      <c r="L208" s="169"/>
      <c r="M208" s="169"/>
      <c r="N208" s="257"/>
      <c r="O208" s="257"/>
      <c r="P208" s="257"/>
      <c r="Q208" s="257"/>
      <c r="R208" s="257"/>
      <c r="S208" s="257"/>
      <c r="T208" s="257"/>
      <c r="U208" s="255"/>
      <c r="V208" s="255"/>
      <c r="W208" s="190"/>
      <c r="X208" s="191"/>
      <c r="Y208" s="191"/>
      <c r="Z208" s="191"/>
      <c r="AA208" s="191"/>
    </row>
    <row r="209" spans="2:28" ht="15.75" thickBot="1">
      <c r="B209" s="1356" t="s">
        <v>624</v>
      </c>
      <c r="C209" s="1357"/>
      <c r="D209" s="1357"/>
      <c r="E209" s="1358"/>
      <c r="F209" s="169"/>
      <c r="G209" s="169"/>
      <c r="H209" s="169"/>
      <c r="I209" s="170">
        <f>I208*0.05</f>
        <v>0.60000000000000009</v>
      </c>
      <c r="J209" s="170">
        <f>J208*0.05</f>
        <v>9.338000000000001</v>
      </c>
      <c r="K209" s="300">
        <f>K208*0.05</f>
        <v>93.38</v>
      </c>
      <c r="L209" s="169"/>
      <c r="M209" s="306"/>
      <c r="N209" s="257"/>
      <c r="O209" s="257"/>
      <c r="P209" s="257"/>
      <c r="Q209" s="257"/>
      <c r="R209" s="257"/>
      <c r="S209" s="191"/>
      <c r="T209" s="191"/>
      <c r="U209" s="190"/>
      <c r="V209" s="190"/>
      <c r="W209" s="190"/>
      <c r="X209" s="191"/>
      <c r="Y209" s="191"/>
      <c r="Z209" s="191"/>
      <c r="AA209" s="191"/>
    </row>
    <row r="210" spans="2:28" ht="15.75" thickBot="1">
      <c r="B210" s="1377" t="s">
        <v>346</v>
      </c>
      <c r="C210" s="1378"/>
      <c r="D210" s="1378"/>
      <c r="E210" s="1379"/>
      <c r="F210" s="172"/>
      <c r="G210" s="172"/>
      <c r="H210" s="172"/>
      <c r="I210" s="173">
        <f>SUM(I208:I209)</f>
        <v>12.6</v>
      </c>
      <c r="J210" s="173">
        <f>SUM(J208:J209)</f>
        <v>196.09800000000001</v>
      </c>
      <c r="K210" s="301">
        <f>SUM(K208:K209)</f>
        <v>1960.98</v>
      </c>
      <c r="L210" s="305"/>
      <c r="M210" s="307">
        <f>M206</f>
        <v>4749</v>
      </c>
      <c r="N210" s="1382"/>
      <c r="O210" s="1382"/>
      <c r="P210" s="1382"/>
      <c r="Q210" s="1382"/>
      <c r="R210" s="191"/>
      <c r="S210" s="191"/>
      <c r="T210" s="191"/>
      <c r="U210" s="190"/>
      <c r="V210" s="190"/>
      <c r="W210" s="191"/>
      <c r="X210" s="191"/>
      <c r="Y210" s="191"/>
      <c r="Z210" s="191"/>
      <c r="AA210" s="191"/>
    </row>
    <row r="211" spans="2:28" ht="15.75" thickBot="1">
      <c r="C211" s="256"/>
      <c r="D211" s="191"/>
      <c r="E211" s="256"/>
      <c r="G211" s="285" t="s">
        <v>306</v>
      </c>
      <c r="H211" s="286"/>
      <c r="I211" s="287"/>
      <c r="J211" s="287">
        <f>J210+K210</f>
        <v>2157.078</v>
      </c>
      <c r="K211" s="287"/>
      <c r="L211" s="169"/>
      <c r="N211" s="1382"/>
      <c r="O211" s="1382"/>
      <c r="P211" s="1382"/>
      <c r="Q211" s="1382"/>
      <c r="R211" s="191"/>
      <c r="S211" s="191"/>
      <c r="T211" s="191"/>
      <c r="U211" s="190"/>
      <c r="V211" s="190"/>
      <c r="W211" s="191"/>
      <c r="X211" s="191"/>
      <c r="Y211" s="191"/>
      <c r="Z211" s="191"/>
      <c r="AA211" s="191"/>
    </row>
    <row r="212" spans="2:28">
      <c r="N212" s="1382"/>
      <c r="O212" s="1382"/>
      <c r="P212" s="1382"/>
      <c r="Q212" s="1382"/>
      <c r="R212" s="191"/>
      <c r="S212" s="256"/>
      <c r="T212" s="191"/>
      <c r="U212" s="190"/>
      <c r="V212" s="190"/>
      <c r="W212" s="254"/>
      <c r="X212" s="191"/>
      <c r="Y212" s="191"/>
      <c r="Z212" s="191"/>
      <c r="AA212" s="191"/>
    </row>
    <row r="213" spans="2:28">
      <c r="B213" s="1380" t="s">
        <v>401</v>
      </c>
      <c r="C213" s="1380"/>
      <c r="D213" s="1380"/>
      <c r="E213" s="1380"/>
      <c r="M213" s="189"/>
      <c r="N213" s="188"/>
      <c r="O213" s="256"/>
      <c r="P213" s="191"/>
      <c r="Q213" s="256"/>
      <c r="R213" s="191"/>
      <c r="S213" s="191"/>
      <c r="T213" s="191"/>
      <c r="U213" s="191"/>
      <c r="V213" s="191"/>
      <c r="W213" s="191"/>
      <c r="X213" s="191"/>
      <c r="Y213" s="191"/>
      <c r="Z213" s="191"/>
      <c r="AA213" s="191"/>
    </row>
    <row r="214" spans="2:28">
      <c r="B214" s="251" t="s">
        <v>462</v>
      </c>
      <c r="C214" s="252"/>
      <c r="D214" s="252"/>
      <c r="E214" s="252"/>
      <c r="N214" s="191"/>
      <c r="O214" s="191"/>
      <c r="P214" s="191"/>
      <c r="Q214" s="191"/>
      <c r="R214" s="191"/>
      <c r="S214" s="191"/>
      <c r="T214" s="191"/>
      <c r="U214" s="191"/>
      <c r="V214" s="191"/>
      <c r="W214" s="1381"/>
      <c r="X214" s="191"/>
      <c r="Y214" s="191"/>
      <c r="Z214" s="191"/>
      <c r="AA214" s="191"/>
    </row>
    <row r="215" spans="2:28" ht="15" customHeight="1" thickBot="1">
      <c r="N215" s="191"/>
      <c r="O215" s="191"/>
      <c r="P215" s="191"/>
      <c r="Q215" s="191"/>
      <c r="R215" s="191"/>
      <c r="S215" s="191"/>
      <c r="T215" s="191"/>
      <c r="U215" s="191"/>
      <c r="V215" s="191"/>
      <c r="W215" s="1381"/>
      <c r="X215" s="191"/>
      <c r="Y215" s="191"/>
      <c r="Z215" s="191"/>
      <c r="AA215" s="191"/>
    </row>
    <row r="216" spans="2:28" ht="15" customHeight="1">
      <c r="B216" s="1350" t="s">
        <v>367</v>
      </c>
      <c r="C216" s="1352" t="s">
        <v>337</v>
      </c>
      <c r="D216" s="1354" t="s">
        <v>444</v>
      </c>
      <c r="E216" s="1354" t="s">
        <v>368</v>
      </c>
      <c r="F216" s="1383" t="s">
        <v>339</v>
      </c>
      <c r="G216" s="1392"/>
      <c r="H216" s="298" t="s">
        <v>482</v>
      </c>
      <c r="I216" s="1354" t="s">
        <v>369</v>
      </c>
      <c r="J216" s="1388" t="s">
        <v>98</v>
      </c>
      <c r="K216" s="1388" t="s">
        <v>341</v>
      </c>
      <c r="L216" s="1367" t="s">
        <v>340</v>
      </c>
      <c r="M216" s="1393" t="s">
        <v>483</v>
      </c>
      <c r="O216" s="191"/>
      <c r="P216" s="191"/>
      <c r="Q216" s="191"/>
      <c r="R216" s="191"/>
      <c r="S216" s="191"/>
      <c r="T216" s="191"/>
      <c r="U216" s="191"/>
      <c r="V216" s="191"/>
      <c r="W216" s="191"/>
      <c r="X216" s="255"/>
      <c r="Y216" s="191"/>
      <c r="Z216" s="191"/>
      <c r="AA216" s="191"/>
      <c r="AB216" s="191"/>
    </row>
    <row r="217" spans="2:28">
      <c r="B217" s="1351"/>
      <c r="C217" s="1353"/>
      <c r="D217" s="1355"/>
      <c r="E217" s="1355"/>
      <c r="F217" s="164" t="s">
        <v>302</v>
      </c>
      <c r="G217" s="164" t="s">
        <v>303</v>
      </c>
      <c r="H217" s="297"/>
      <c r="I217" s="1395"/>
      <c r="J217" s="1389"/>
      <c r="K217" s="1389"/>
      <c r="L217" s="1370"/>
      <c r="M217" s="1394"/>
      <c r="O217" s="191"/>
      <c r="P217" s="191"/>
      <c r="Q217" s="191"/>
      <c r="R217" s="191"/>
      <c r="S217" s="191"/>
      <c r="T217" s="191"/>
      <c r="U217" s="191"/>
      <c r="V217" s="191"/>
      <c r="W217" s="191"/>
      <c r="X217" s="255"/>
      <c r="Y217" s="191"/>
      <c r="Z217" s="191"/>
      <c r="AA217" s="191"/>
      <c r="AB217" s="191"/>
    </row>
    <row r="218" spans="2:28">
      <c r="B218" s="165" t="s">
        <v>402</v>
      </c>
      <c r="C218" s="166">
        <v>1</v>
      </c>
      <c r="D218" s="166">
        <v>10</v>
      </c>
      <c r="E218" s="166">
        <v>7.2</v>
      </c>
      <c r="F218" s="166">
        <v>0.2</v>
      </c>
      <c r="G218" s="166">
        <v>0.4</v>
      </c>
      <c r="H218" s="166">
        <v>3</v>
      </c>
      <c r="I218" s="166">
        <v>2</v>
      </c>
      <c r="J218" s="167">
        <f>C218*D218*E218*F218*G218</f>
        <v>5.7600000000000007</v>
      </c>
      <c r="K218" s="167">
        <f t="shared" ref="K218:K225" si="6">C218*D218*E218*G218*I218</f>
        <v>57.6</v>
      </c>
      <c r="L218" s="299">
        <f>C218*D218*E218*F218</f>
        <v>14.4</v>
      </c>
      <c r="M218" s="308">
        <f t="shared" ref="M218:M223" si="7">C218*D218*E218*H218</f>
        <v>216</v>
      </c>
      <c r="O218" s="191"/>
      <c r="P218" s="191"/>
      <c r="Q218" s="191"/>
      <c r="R218" s="191"/>
      <c r="S218" s="191"/>
      <c r="T218" s="191"/>
      <c r="U218" s="191"/>
      <c r="V218" s="191"/>
      <c r="W218" s="191"/>
      <c r="X218" s="255"/>
      <c r="Y218" s="191"/>
      <c r="Z218" s="191"/>
      <c r="AA218" s="191"/>
      <c r="AB218" s="191"/>
    </row>
    <row r="219" spans="2:28">
      <c r="B219" s="165" t="s">
        <v>403</v>
      </c>
      <c r="C219" s="166">
        <v>1</v>
      </c>
      <c r="D219" s="166">
        <v>10</v>
      </c>
      <c r="E219" s="166">
        <v>33.42</v>
      </c>
      <c r="F219" s="166">
        <v>0.2</v>
      </c>
      <c r="G219" s="166">
        <v>0.6</v>
      </c>
      <c r="H219" s="166">
        <v>3</v>
      </c>
      <c r="I219" s="166">
        <v>2</v>
      </c>
      <c r="J219" s="167">
        <f t="shared" ref="J219:J224" si="8">C219*D219*E219*F219*G219</f>
        <v>40.104000000000006</v>
      </c>
      <c r="K219" s="167">
        <f t="shared" si="6"/>
        <v>401.04</v>
      </c>
      <c r="L219" s="299">
        <f t="shared" ref="L219:L224" si="9">C219*D219*E219*F219</f>
        <v>66.840000000000018</v>
      </c>
      <c r="M219" s="308">
        <f t="shared" si="7"/>
        <v>1002.6000000000001</v>
      </c>
      <c r="X219" s="255"/>
      <c r="Y219" s="191"/>
    </row>
    <row r="220" spans="2:28">
      <c r="B220" s="165" t="s">
        <v>457</v>
      </c>
      <c r="C220" s="166">
        <v>1</v>
      </c>
      <c r="D220" s="166">
        <v>10</v>
      </c>
      <c r="E220" s="166">
        <v>4</v>
      </c>
      <c r="F220" s="166">
        <v>0.2</v>
      </c>
      <c r="G220" s="166">
        <v>0.6</v>
      </c>
      <c r="H220" s="166">
        <v>3</v>
      </c>
      <c r="I220" s="166">
        <v>2</v>
      </c>
      <c r="J220" s="167">
        <f t="shared" si="8"/>
        <v>4.8</v>
      </c>
      <c r="K220" s="167">
        <f t="shared" si="6"/>
        <v>48</v>
      </c>
      <c r="L220" s="299">
        <f t="shared" si="9"/>
        <v>8</v>
      </c>
      <c r="M220" s="308">
        <f t="shared" si="7"/>
        <v>120</v>
      </c>
      <c r="X220" s="255"/>
      <c r="Y220" s="191"/>
    </row>
    <row r="221" spans="2:28">
      <c r="B221" s="165" t="s">
        <v>458</v>
      </c>
      <c r="C221" s="166">
        <v>1</v>
      </c>
      <c r="D221" s="166">
        <v>10</v>
      </c>
      <c r="E221" s="215">
        <v>17.100000000000001</v>
      </c>
      <c r="F221" s="166">
        <v>0.2</v>
      </c>
      <c r="G221" s="166">
        <v>0.6</v>
      </c>
      <c r="H221" s="166">
        <v>3</v>
      </c>
      <c r="I221" s="166">
        <v>2</v>
      </c>
      <c r="J221" s="167">
        <f t="shared" si="8"/>
        <v>20.52</v>
      </c>
      <c r="K221" s="167">
        <f t="shared" si="6"/>
        <v>205.2</v>
      </c>
      <c r="L221" s="299">
        <f t="shared" si="9"/>
        <v>34.200000000000003</v>
      </c>
      <c r="M221" s="308">
        <f t="shared" si="7"/>
        <v>513</v>
      </c>
      <c r="O221" s="191"/>
      <c r="P221" s="191"/>
      <c r="Q221" s="191"/>
      <c r="R221" s="191"/>
      <c r="S221" s="191"/>
      <c r="T221" s="191"/>
      <c r="U221" s="191"/>
      <c r="V221" s="191"/>
      <c r="W221" s="191"/>
      <c r="X221" s="255"/>
      <c r="Y221" s="191"/>
      <c r="Z221" s="191"/>
      <c r="AA221" s="191"/>
    </row>
    <row r="222" spans="2:28">
      <c r="B222" s="165" t="s">
        <v>404</v>
      </c>
      <c r="C222" s="166">
        <v>1</v>
      </c>
      <c r="D222" s="166">
        <v>10</v>
      </c>
      <c r="E222" s="166">
        <v>22.75</v>
      </c>
      <c r="F222" s="166">
        <v>0.2</v>
      </c>
      <c r="G222" s="166">
        <v>0.6</v>
      </c>
      <c r="H222" s="166">
        <v>3</v>
      </c>
      <c r="I222" s="166">
        <v>2</v>
      </c>
      <c r="J222" s="167">
        <f t="shared" si="8"/>
        <v>27.3</v>
      </c>
      <c r="K222" s="167">
        <f t="shared" si="6"/>
        <v>273</v>
      </c>
      <c r="L222" s="299">
        <f t="shared" si="9"/>
        <v>45.5</v>
      </c>
      <c r="M222" s="308">
        <f t="shared" si="7"/>
        <v>682.5</v>
      </c>
      <c r="O222" s="191"/>
      <c r="P222" s="191"/>
      <c r="Q222" s="191"/>
      <c r="R222" s="191"/>
      <c r="S222" s="191"/>
      <c r="T222" s="191"/>
      <c r="U222" s="191"/>
      <c r="V222" s="191"/>
      <c r="W222" s="191"/>
      <c r="X222" s="255"/>
      <c r="Y222" s="191"/>
      <c r="Z222" s="191"/>
      <c r="AA222" s="191"/>
    </row>
    <row r="223" spans="2:28">
      <c r="B223" s="165" t="s">
        <v>405</v>
      </c>
      <c r="C223" s="166">
        <v>1</v>
      </c>
      <c r="D223" s="166">
        <v>10</v>
      </c>
      <c r="E223" s="166">
        <v>56.2</v>
      </c>
      <c r="F223" s="166">
        <v>0.2</v>
      </c>
      <c r="G223" s="166">
        <v>0.6</v>
      </c>
      <c r="H223" s="166">
        <v>3</v>
      </c>
      <c r="I223" s="166">
        <v>2</v>
      </c>
      <c r="J223" s="167">
        <f t="shared" si="8"/>
        <v>67.44</v>
      </c>
      <c r="K223" s="167">
        <f t="shared" si="6"/>
        <v>674.4</v>
      </c>
      <c r="L223" s="299">
        <f t="shared" si="9"/>
        <v>112.4</v>
      </c>
      <c r="M223" s="308">
        <f t="shared" si="7"/>
        <v>1686</v>
      </c>
      <c r="O223" s="191"/>
      <c r="P223" s="191"/>
      <c r="Q223" s="191"/>
      <c r="R223" s="191"/>
      <c r="S223" s="191"/>
      <c r="T223" s="191"/>
      <c r="U223" s="191"/>
      <c r="V223" s="191"/>
      <c r="W223" s="191"/>
      <c r="X223" s="255"/>
      <c r="Y223" s="191"/>
      <c r="Z223" s="191"/>
      <c r="AA223" s="191"/>
    </row>
    <row r="224" spans="2:28">
      <c r="B224" s="165" t="s">
        <v>406</v>
      </c>
      <c r="C224" s="166">
        <v>1</v>
      </c>
      <c r="D224" s="166">
        <v>10</v>
      </c>
      <c r="E224" s="166">
        <v>17.600000000000001</v>
      </c>
      <c r="F224" s="166">
        <v>0.2</v>
      </c>
      <c r="G224" s="166">
        <v>0.6</v>
      </c>
      <c r="H224" s="166"/>
      <c r="I224" s="166">
        <v>2</v>
      </c>
      <c r="J224" s="167">
        <f t="shared" si="8"/>
        <v>21.12</v>
      </c>
      <c r="K224" s="167">
        <f t="shared" si="6"/>
        <v>211.2</v>
      </c>
      <c r="L224" s="299">
        <f t="shared" si="9"/>
        <v>35.200000000000003</v>
      </c>
      <c r="M224" s="309">
        <f>SUM(M218:M223)</f>
        <v>4220.1000000000004</v>
      </c>
      <c r="O224" s="1387"/>
      <c r="P224" s="1387"/>
      <c r="Q224" s="1387"/>
      <c r="R224" s="1387"/>
      <c r="S224" s="191"/>
      <c r="T224" s="254"/>
      <c r="U224" s="254"/>
      <c r="V224" s="254"/>
      <c r="W224" s="254"/>
      <c r="X224" s="190"/>
      <c r="Y224" s="191"/>
      <c r="Z224" s="191"/>
      <c r="AA224" s="191"/>
    </row>
    <row r="225" spans="1:27">
      <c r="B225" s="253" t="s">
        <v>460</v>
      </c>
      <c r="C225" s="166">
        <v>1</v>
      </c>
      <c r="D225" s="237">
        <v>10</v>
      </c>
      <c r="E225" s="289">
        <v>5</v>
      </c>
      <c r="F225" s="166">
        <v>0.2</v>
      </c>
      <c r="G225" s="166">
        <v>0.6</v>
      </c>
      <c r="H225" s="166"/>
      <c r="I225" s="166">
        <v>2</v>
      </c>
      <c r="J225" s="167">
        <f>C225*D225*E225*F225*G225</f>
        <v>6</v>
      </c>
      <c r="K225" s="167">
        <f t="shared" si="6"/>
        <v>60</v>
      </c>
      <c r="L225" s="299">
        <f>C225*D225*E225*F225</f>
        <v>10</v>
      </c>
      <c r="M225" s="239"/>
      <c r="O225" s="259"/>
      <c r="P225" s="254"/>
      <c r="Q225" s="254"/>
      <c r="R225" s="254"/>
      <c r="S225" s="254"/>
      <c r="T225" s="254"/>
      <c r="U225" s="254"/>
      <c r="V225" s="254"/>
      <c r="W225" s="254"/>
      <c r="X225" s="190"/>
      <c r="Y225" s="191"/>
      <c r="Z225" s="191"/>
      <c r="AA225" s="191"/>
    </row>
    <row r="226" spans="1:27">
      <c r="B226" s="253"/>
      <c r="C226" s="236"/>
      <c r="D226" s="236"/>
      <c r="E226" s="201">
        <f>SUM(E218:E225)</f>
        <v>163.27000000000001</v>
      </c>
      <c r="F226" s="166"/>
      <c r="G226" s="169"/>
      <c r="H226" s="169"/>
      <c r="I226" s="170">
        <f>SUM(J218:J223)</f>
        <v>165.92399999999998</v>
      </c>
      <c r="J226" s="170">
        <f>SUM(K218:K225)</f>
        <v>1930.44</v>
      </c>
      <c r="K226" s="171">
        <f>SUM(L218:L225)</f>
        <v>326.54000000000002</v>
      </c>
      <c r="M226" s="239"/>
      <c r="N226" s="259"/>
      <c r="O226" s="254"/>
      <c r="P226" s="254"/>
      <c r="Q226" s="254"/>
      <c r="R226" s="254"/>
      <c r="S226" s="254"/>
      <c r="T226" s="254"/>
      <c r="U226" s="254"/>
      <c r="V226" s="254"/>
      <c r="W226" s="190"/>
      <c r="X226" s="191"/>
      <c r="Y226" s="191"/>
      <c r="Z226" s="191"/>
    </row>
    <row r="227" spans="1:27" ht="15.75" thickBot="1">
      <c r="B227" s="1356" t="s">
        <v>110</v>
      </c>
      <c r="C227" s="1357"/>
      <c r="D227" s="1357"/>
      <c r="E227" s="1358"/>
      <c r="F227" s="169"/>
      <c r="G227" s="169"/>
      <c r="H227" s="169"/>
      <c r="I227" s="170">
        <f>I226*0.05</f>
        <v>8.2961999999999989</v>
      </c>
      <c r="J227" s="170">
        <f>J226*0.05</f>
        <v>96.522000000000006</v>
      </c>
      <c r="K227" s="171">
        <f>K226*0.05</f>
        <v>16.327000000000002</v>
      </c>
      <c r="M227" s="310"/>
      <c r="N227" s="259"/>
      <c r="O227" s="254"/>
      <c r="P227" s="254"/>
      <c r="Q227" s="254"/>
      <c r="R227" s="254"/>
      <c r="S227" s="260"/>
      <c r="T227" s="260"/>
      <c r="U227" s="1381"/>
      <c r="V227" s="1381"/>
      <c r="W227" s="190"/>
      <c r="X227" s="191"/>
      <c r="Y227" s="191"/>
      <c r="Z227" s="191"/>
    </row>
    <row r="228" spans="1:27" ht="15.75" thickBot="1">
      <c r="B228" s="1356" t="s">
        <v>625</v>
      </c>
      <c r="C228" s="1357"/>
      <c r="D228" s="1357"/>
      <c r="E228" s="1358"/>
      <c r="F228" s="169"/>
      <c r="G228" s="172"/>
      <c r="H228" s="172"/>
      <c r="I228" s="173">
        <f>SUM(I226:I227)</f>
        <v>174.22019999999998</v>
      </c>
      <c r="J228" s="173">
        <f>SUM(J226:J227)</f>
        <v>2026.962</v>
      </c>
      <c r="K228" s="174">
        <f>SUM(K226:K227)</f>
        <v>342.86700000000002</v>
      </c>
      <c r="M228" s="307">
        <f>M224</f>
        <v>4220.1000000000004</v>
      </c>
      <c r="N228" s="1385"/>
      <c r="O228" s="1386"/>
      <c r="P228" s="1385"/>
      <c r="Q228" s="1385"/>
      <c r="R228" s="260"/>
      <c r="S228" s="257"/>
      <c r="T228" s="257"/>
      <c r="U228" s="1381"/>
      <c r="V228" s="1381"/>
      <c r="W228" s="190"/>
      <c r="X228" s="191"/>
      <c r="Y228" s="191"/>
      <c r="Z228" s="191"/>
    </row>
    <row r="229" spans="1:27" s="189" customFormat="1" ht="15.75" thickBot="1">
      <c r="A229" s="187"/>
      <c r="B229" s="1377" t="s">
        <v>346</v>
      </c>
      <c r="C229" s="1378"/>
      <c r="D229" s="1378"/>
      <c r="E229" s="1379"/>
      <c r="F229" s="172"/>
      <c r="G229" s="183" t="s">
        <v>306</v>
      </c>
      <c r="H229" s="196"/>
      <c r="I229" s="202"/>
      <c r="J229" s="202">
        <f>J228+K228</f>
        <v>2369.8290000000002</v>
      </c>
      <c r="K229" s="203"/>
      <c r="M229" s="163"/>
      <c r="N229" s="1385"/>
      <c r="O229" s="1386"/>
      <c r="P229" s="1385"/>
      <c r="Q229" s="1385"/>
      <c r="R229" s="257"/>
      <c r="S229" s="257"/>
      <c r="T229" s="257"/>
      <c r="U229" s="255"/>
      <c r="V229" s="255"/>
      <c r="W229" s="191"/>
      <c r="X229" s="191"/>
      <c r="Y229" s="191"/>
      <c r="Z229" s="191"/>
    </row>
    <row r="230" spans="1:27">
      <c r="C230" s="256"/>
      <c r="D230" s="191"/>
      <c r="E230" s="256"/>
      <c r="N230" s="257"/>
      <c r="O230" s="257"/>
      <c r="P230" s="257"/>
      <c r="Q230" s="257"/>
      <c r="R230" s="257"/>
      <c r="S230" s="257"/>
      <c r="T230" s="257"/>
      <c r="U230" s="255"/>
      <c r="V230" s="255"/>
      <c r="W230" s="191"/>
      <c r="X230" s="191"/>
      <c r="Y230" s="191"/>
      <c r="Z230" s="191"/>
    </row>
    <row r="231" spans="1:27">
      <c r="C231" s="256"/>
      <c r="D231" s="191"/>
      <c r="E231" s="256"/>
      <c r="N231" s="257"/>
      <c r="O231" s="257"/>
      <c r="P231" s="257"/>
      <c r="Q231" s="257"/>
      <c r="R231" s="257"/>
      <c r="S231" s="257"/>
      <c r="T231" s="257"/>
      <c r="U231" s="255"/>
      <c r="V231" s="255"/>
      <c r="W231" s="191"/>
      <c r="X231" s="191"/>
      <c r="Y231" s="191"/>
      <c r="Z231" s="191"/>
    </row>
    <row r="232" spans="1:27">
      <c r="A232" s="161">
        <v>14</v>
      </c>
      <c r="B232" s="1380" t="s">
        <v>464</v>
      </c>
      <c r="C232" s="1380"/>
      <c r="D232" s="1380"/>
      <c r="E232" s="1380"/>
      <c r="N232" s="257"/>
      <c r="O232" s="257"/>
      <c r="P232" s="257"/>
      <c r="Q232" s="257"/>
      <c r="R232" s="257"/>
      <c r="S232" s="257"/>
      <c r="T232" s="257"/>
      <c r="U232" s="255"/>
      <c r="V232" s="255"/>
      <c r="W232" s="191"/>
      <c r="X232" s="191"/>
      <c r="Y232" s="191"/>
      <c r="Z232" s="191"/>
    </row>
    <row r="233" spans="1:27">
      <c r="B233" s="284" t="s">
        <v>466</v>
      </c>
      <c r="C233" s="252"/>
      <c r="D233" s="252"/>
      <c r="E233" s="252"/>
      <c r="N233" s="257"/>
      <c r="O233" s="257"/>
      <c r="P233" s="257"/>
      <c r="Q233" s="257"/>
      <c r="R233" s="257"/>
      <c r="S233" s="257"/>
      <c r="T233" s="257"/>
      <c r="U233" s="255"/>
      <c r="V233" s="255"/>
      <c r="W233" s="191"/>
      <c r="X233" s="191"/>
      <c r="Y233" s="191"/>
      <c r="Z233" s="191"/>
    </row>
    <row r="234" spans="1:27" ht="15.75" thickBot="1">
      <c r="N234" s="257"/>
      <c r="O234" s="257"/>
      <c r="P234" s="257"/>
      <c r="Q234" s="257"/>
      <c r="R234" s="257"/>
      <c r="S234" s="257"/>
      <c r="T234" s="257"/>
      <c r="U234" s="255"/>
      <c r="V234" s="255"/>
      <c r="W234" s="191"/>
      <c r="X234" s="191"/>
      <c r="Y234" s="191"/>
      <c r="Z234" s="191"/>
    </row>
    <row r="235" spans="1:27">
      <c r="A235" s="163"/>
      <c r="B235" s="1350" t="s">
        <v>367</v>
      </c>
      <c r="C235" s="1352" t="s">
        <v>337</v>
      </c>
      <c r="D235" s="1354" t="s">
        <v>444</v>
      </c>
      <c r="E235" s="1354" t="s">
        <v>368</v>
      </c>
      <c r="F235" s="1383" t="s">
        <v>339</v>
      </c>
      <c r="G235" s="1392"/>
      <c r="H235" s="1354" t="s">
        <v>369</v>
      </c>
      <c r="I235" s="1388" t="s">
        <v>98</v>
      </c>
      <c r="J235" s="1388" t="s">
        <v>341</v>
      </c>
      <c r="K235" s="1390" t="s">
        <v>340</v>
      </c>
      <c r="N235" s="257"/>
      <c r="O235" s="257"/>
      <c r="P235" s="257"/>
      <c r="Q235" s="257"/>
      <c r="R235" s="257"/>
      <c r="S235" s="257"/>
      <c r="T235" s="257"/>
      <c r="U235" s="255"/>
      <c r="V235" s="255"/>
      <c r="W235" s="191"/>
      <c r="X235" s="191"/>
      <c r="Y235" s="191"/>
      <c r="Z235" s="191"/>
    </row>
    <row r="236" spans="1:27">
      <c r="A236" s="163"/>
      <c r="B236" s="1351"/>
      <c r="C236" s="1353"/>
      <c r="D236" s="1355"/>
      <c r="E236" s="1355"/>
      <c r="F236" s="164" t="s">
        <v>302</v>
      </c>
      <c r="G236" s="164" t="s">
        <v>303</v>
      </c>
      <c r="H236" s="1395"/>
      <c r="I236" s="1389"/>
      <c r="J236" s="1389"/>
      <c r="K236" s="1391"/>
      <c r="N236" s="257"/>
      <c r="O236" s="257"/>
      <c r="P236" s="257"/>
      <c r="Q236" s="257"/>
      <c r="R236" s="257"/>
      <c r="S236" s="257"/>
      <c r="T236" s="257"/>
      <c r="U236" s="255"/>
      <c r="V236" s="255"/>
      <c r="W236" s="191"/>
      <c r="X236" s="191"/>
      <c r="Y236" s="191"/>
      <c r="Z236" s="191"/>
    </row>
    <row r="237" spans="1:27">
      <c r="A237" s="163"/>
      <c r="B237" s="165" t="s">
        <v>402</v>
      </c>
      <c r="C237" s="166">
        <v>1</v>
      </c>
      <c r="D237" s="166">
        <v>10</v>
      </c>
      <c r="E237" s="166">
        <v>4.4000000000000004</v>
      </c>
      <c r="F237" s="166">
        <v>0.2</v>
      </c>
      <c r="G237" s="166">
        <v>0.4</v>
      </c>
      <c r="H237" s="166">
        <v>2</v>
      </c>
      <c r="I237" s="167">
        <f>C237*D237*E237*F237*G237</f>
        <v>3.5200000000000005</v>
      </c>
      <c r="J237" s="167">
        <f>C237*D237*E237*G237*H237</f>
        <v>35.200000000000003</v>
      </c>
      <c r="K237" s="168">
        <f>C237*D237*E237*F237</f>
        <v>8.8000000000000007</v>
      </c>
      <c r="N237" s="257"/>
      <c r="O237" s="257"/>
      <c r="P237" s="257"/>
      <c r="Q237" s="257"/>
      <c r="R237" s="257"/>
      <c r="S237" s="257"/>
      <c r="T237" s="257"/>
      <c r="U237" s="255"/>
      <c r="V237" s="255"/>
      <c r="W237" s="191"/>
      <c r="X237" s="191"/>
      <c r="Y237" s="191"/>
      <c r="Z237" s="191"/>
    </row>
    <row r="238" spans="1:27">
      <c r="A238" s="163"/>
      <c r="B238" s="165" t="s">
        <v>403</v>
      </c>
      <c r="C238" s="166">
        <v>1</v>
      </c>
      <c r="D238" s="166">
        <v>10</v>
      </c>
      <c r="E238" s="166">
        <v>21.2</v>
      </c>
      <c r="F238" s="166">
        <v>0.2</v>
      </c>
      <c r="G238" s="166">
        <v>0.6</v>
      </c>
      <c r="H238" s="166">
        <v>2</v>
      </c>
      <c r="I238" s="167">
        <f>C238*D238*E238*F238*G238</f>
        <v>25.44</v>
      </c>
      <c r="J238" s="167">
        <f>C238*D238*E238*G238*H238</f>
        <v>254.39999999999998</v>
      </c>
      <c r="K238" s="168">
        <f>C238*D238*E238*F238</f>
        <v>42.400000000000006</v>
      </c>
      <c r="N238" s="257"/>
      <c r="O238" s="257"/>
      <c r="P238" s="257"/>
      <c r="Q238" s="257"/>
      <c r="R238" s="257"/>
      <c r="S238" s="191"/>
      <c r="T238" s="191"/>
      <c r="U238" s="190"/>
      <c r="V238" s="190"/>
      <c r="W238" s="191"/>
      <c r="X238" s="191"/>
      <c r="Y238" s="191"/>
      <c r="Z238" s="191"/>
    </row>
    <row r="239" spans="1:27" ht="15.75" customHeight="1">
      <c r="A239" s="163"/>
      <c r="B239" s="165" t="s">
        <v>458</v>
      </c>
      <c r="C239" s="166">
        <v>1</v>
      </c>
      <c r="D239" s="166">
        <v>10</v>
      </c>
      <c r="E239" s="166">
        <v>13.2</v>
      </c>
      <c r="F239" s="166">
        <v>0.2</v>
      </c>
      <c r="G239" s="166">
        <v>0.6</v>
      </c>
      <c r="H239" s="166">
        <v>2</v>
      </c>
      <c r="I239" s="167">
        <f>C239*D239*E239*F239*G239</f>
        <v>15.84</v>
      </c>
      <c r="J239" s="167">
        <f>C239*D239*E239*G239*H239</f>
        <v>158.4</v>
      </c>
      <c r="K239" s="168">
        <f>C239*D239*E239*F239</f>
        <v>26.400000000000002</v>
      </c>
      <c r="N239" s="1382"/>
      <c r="O239" s="1382"/>
      <c r="P239" s="1382"/>
      <c r="Q239" s="1382"/>
      <c r="R239" s="191"/>
      <c r="S239" s="191"/>
      <c r="T239" s="191"/>
      <c r="U239" s="190"/>
      <c r="V239" s="190"/>
      <c r="W239" s="191"/>
      <c r="X239" s="191"/>
      <c r="Y239" s="191"/>
      <c r="Z239" s="191"/>
    </row>
    <row r="240" spans="1:27" ht="15.75">
      <c r="A240" s="192"/>
      <c r="B240" s="165" t="s">
        <v>404</v>
      </c>
      <c r="C240" s="166">
        <v>1</v>
      </c>
      <c r="D240" s="166">
        <v>10</v>
      </c>
      <c r="E240" s="215">
        <v>33.6</v>
      </c>
      <c r="F240" s="166">
        <v>0.2</v>
      </c>
      <c r="G240" s="166">
        <v>0.6</v>
      </c>
      <c r="H240" s="166">
        <v>2</v>
      </c>
      <c r="I240" s="167">
        <f>C240*D240*E240*F240*G240</f>
        <v>40.32</v>
      </c>
      <c r="J240" s="167">
        <f>C240*D240*E240*G240*H240</f>
        <v>403.2</v>
      </c>
      <c r="K240" s="168">
        <f>C240*D240*E240*F240</f>
        <v>67.2</v>
      </c>
      <c r="N240" s="1382"/>
      <c r="O240" s="1382"/>
      <c r="P240" s="1382"/>
      <c r="Q240" s="1382"/>
      <c r="R240" s="191"/>
      <c r="S240" s="191"/>
      <c r="T240" s="191"/>
      <c r="U240" s="190"/>
      <c r="V240" s="190"/>
      <c r="W240" s="191"/>
      <c r="X240" s="191"/>
      <c r="Y240" s="191"/>
      <c r="Z240" s="191"/>
    </row>
    <row r="241" spans="1:28">
      <c r="B241" s="253" t="s">
        <v>460</v>
      </c>
      <c r="C241" s="166">
        <v>1</v>
      </c>
      <c r="D241" s="237">
        <v>10</v>
      </c>
      <c r="E241" s="289">
        <v>7.2</v>
      </c>
      <c r="F241" s="166">
        <v>0.2</v>
      </c>
      <c r="G241" s="166">
        <v>0.6</v>
      </c>
      <c r="H241" s="166">
        <v>2</v>
      </c>
      <c r="I241" s="167">
        <f>C241*D241*E241*F241*G241</f>
        <v>8.64</v>
      </c>
      <c r="J241" s="167">
        <f>C241*D241*E241*G241*H241</f>
        <v>86.399999999999991</v>
      </c>
      <c r="K241" s="168">
        <f>C241*D241*E241*F241</f>
        <v>14.4</v>
      </c>
      <c r="N241" s="191"/>
      <c r="O241" s="191"/>
      <c r="P241" s="191"/>
      <c r="Q241" s="191"/>
      <c r="R241" s="191"/>
      <c r="S241" s="191"/>
      <c r="T241" s="191"/>
      <c r="U241" s="191"/>
      <c r="V241" s="191"/>
      <c r="W241" s="254"/>
      <c r="X241" s="191"/>
      <c r="Y241" s="191"/>
      <c r="Z241" s="191"/>
      <c r="AA241" s="191"/>
      <c r="AB241" s="191"/>
    </row>
    <row r="242" spans="1:28">
      <c r="B242" s="253"/>
      <c r="C242" s="236"/>
      <c r="D242" s="236"/>
      <c r="E242" s="201">
        <f>SUM(E237:E241)</f>
        <v>79.600000000000009</v>
      </c>
      <c r="F242" s="166"/>
      <c r="G242" s="169"/>
      <c r="H242" s="169"/>
      <c r="I242" s="170">
        <f>SUM(I237:I241)</f>
        <v>93.76</v>
      </c>
      <c r="J242" s="170">
        <f>SUM(J237:J241)</f>
        <v>937.6</v>
      </c>
      <c r="K242" s="171">
        <f>SUM(K237:K241)</f>
        <v>159.20000000000002</v>
      </c>
      <c r="N242" s="1387"/>
      <c r="O242" s="1387"/>
      <c r="P242" s="1387"/>
      <c r="Q242" s="1387"/>
      <c r="R242" s="191"/>
      <c r="S242" s="254"/>
      <c r="T242" s="254"/>
      <c r="U242" s="254"/>
      <c r="V242" s="254"/>
      <c r="W242" s="1381"/>
      <c r="X242" s="191"/>
      <c r="Y242" s="191"/>
      <c r="Z242" s="191"/>
      <c r="AA242" s="191"/>
      <c r="AB242" s="191"/>
    </row>
    <row r="243" spans="1:28" ht="15" customHeight="1">
      <c r="B243" s="1356" t="s">
        <v>110</v>
      </c>
      <c r="C243" s="1357"/>
      <c r="D243" s="1357"/>
      <c r="E243" s="1358"/>
      <c r="F243" s="169"/>
      <c r="G243" s="169"/>
      <c r="H243" s="169"/>
      <c r="I243" s="170">
        <f>I242*0.1</f>
        <v>9.3760000000000012</v>
      </c>
      <c r="J243" s="170">
        <f>J242*0.1</f>
        <v>93.76</v>
      </c>
      <c r="K243" s="171">
        <f>K242*0.1</f>
        <v>15.920000000000002</v>
      </c>
      <c r="N243" s="259"/>
      <c r="O243" s="254"/>
      <c r="P243" s="254"/>
      <c r="Q243" s="254"/>
      <c r="R243" s="254"/>
      <c r="S243" s="254"/>
      <c r="T243" s="254"/>
      <c r="U243" s="254"/>
      <c r="V243" s="254"/>
      <c r="W243" s="1381"/>
      <c r="X243" s="191"/>
      <c r="Y243" s="191"/>
      <c r="Z243" s="191"/>
      <c r="AA243" s="191"/>
      <c r="AB243" s="191"/>
    </row>
    <row r="244" spans="1:28" ht="15.75" thickBot="1">
      <c r="B244" s="1356" t="s">
        <v>359</v>
      </c>
      <c r="C244" s="1357"/>
      <c r="D244" s="1357"/>
      <c r="E244" s="1358"/>
      <c r="F244" s="169"/>
      <c r="G244" s="172"/>
      <c r="H244" s="172"/>
      <c r="I244" s="173">
        <f>SUM(I242:I243)</f>
        <v>103.13600000000001</v>
      </c>
      <c r="J244" s="173">
        <f>SUM(J242:J243)</f>
        <v>1031.3600000000001</v>
      </c>
      <c r="K244" s="174">
        <f>SUM(K242:K243)</f>
        <v>175.12</v>
      </c>
      <c r="N244" s="259"/>
      <c r="O244" s="254"/>
      <c r="P244" s="254"/>
      <c r="Q244" s="254"/>
      <c r="R244" s="254"/>
      <c r="S244" s="260"/>
      <c r="T244" s="260"/>
      <c r="U244" s="1381"/>
      <c r="V244" s="1381"/>
      <c r="W244" s="255"/>
      <c r="X244" s="191"/>
      <c r="Y244" s="191"/>
      <c r="Z244" s="191"/>
      <c r="AA244" s="191"/>
      <c r="AB244" s="191"/>
    </row>
    <row r="245" spans="1:28" ht="15.75" thickBot="1">
      <c r="B245" s="1377" t="s">
        <v>346</v>
      </c>
      <c r="C245" s="1378"/>
      <c r="D245" s="1378"/>
      <c r="E245" s="1379"/>
      <c r="F245" s="172"/>
      <c r="G245" s="183" t="s">
        <v>306</v>
      </c>
      <c r="H245" s="196"/>
      <c r="I245" s="202"/>
      <c r="J245" s="202">
        <f>J244+K244</f>
        <v>1206.48</v>
      </c>
      <c r="K245" s="203"/>
      <c r="N245" s="1385"/>
      <c r="O245" s="1386"/>
      <c r="P245" s="1385"/>
      <c r="Q245" s="1385"/>
      <c r="R245" s="260"/>
      <c r="S245" s="257"/>
      <c r="T245" s="257"/>
      <c r="U245" s="1381"/>
      <c r="V245" s="1381"/>
      <c r="W245" s="255"/>
      <c r="X245" s="191"/>
      <c r="Y245" s="191"/>
      <c r="Z245" s="191"/>
      <c r="AA245" s="191"/>
      <c r="AB245" s="191"/>
    </row>
    <row r="246" spans="1:28">
      <c r="C246" s="256"/>
      <c r="D246" s="191"/>
      <c r="E246" s="256"/>
      <c r="N246" s="1385"/>
      <c r="O246" s="1386"/>
      <c r="P246" s="1385"/>
      <c r="Q246" s="1385"/>
      <c r="R246" s="257"/>
      <c r="S246" s="257"/>
      <c r="T246" s="257"/>
      <c r="U246" s="255"/>
      <c r="V246" s="255"/>
      <c r="W246" s="255"/>
      <c r="X246" s="191"/>
      <c r="Y246" s="191"/>
      <c r="Z246" s="191"/>
      <c r="AA246" s="191"/>
      <c r="AB246" s="191"/>
    </row>
    <row r="247" spans="1:28" ht="15.75">
      <c r="A247" s="192" t="s">
        <v>407</v>
      </c>
      <c r="C247" s="256"/>
      <c r="D247" s="191"/>
      <c r="E247" s="256"/>
      <c r="N247" s="257"/>
      <c r="O247" s="257"/>
      <c r="P247" s="257"/>
      <c r="Q247" s="257"/>
      <c r="R247" s="257"/>
      <c r="S247" s="257"/>
      <c r="T247" s="257"/>
      <c r="U247" s="255"/>
      <c r="V247" s="255"/>
      <c r="W247" s="255"/>
      <c r="X247" s="191"/>
      <c r="Y247" s="191"/>
      <c r="Z247" s="191"/>
      <c r="AA247" s="191"/>
      <c r="AB247" s="191"/>
    </row>
    <row r="248" spans="1:28" ht="15.75">
      <c r="A248" s="194"/>
      <c r="C248" s="256"/>
      <c r="D248" s="191"/>
      <c r="E248" s="256"/>
      <c r="N248" s="257"/>
      <c r="O248" s="257"/>
      <c r="P248" s="257"/>
      <c r="Q248" s="257"/>
      <c r="R248" s="257"/>
      <c r="S248" s="257"/>
      <c r="T248" s="257"/>
      <c r="U248" s="255"/>
      <c r="V248" s="255"/>
      <c r="W248" s="255"/>
      <c r="X248" s="191"/>
      <c r="Y248" s="191"/>
      <c r="Z248" s="191"/>
      <c r="AA248" s="191"/>
      <c r="AB248" s="191"/>
    </row>
    <row r="249" spans="1:28" ht="15.75">
      <c r="A249" s="192"/>
      <c r="N249" s="257"/>
      <c r="O249" s="257"/>
      <c r="P249" s="257"/>
      <c r="Q249" s="257"/>
      <c r="R249" s="257"/>
      <c r="S249" s="257"/>
      <c r="T249" s="257"/>
      <c r="U249" s="255"/>
      <c r="V249" s="255"/>
      <c r="W249" s="190"/>
      <c r="X249" s="191"/>
      <c r="Y249" s="191"/>
      <c r="Z249" s="191"/>
      <c r="AA249" s="191"/>
      <c r="AB249" s="191"/>
    </row>
    <row r="250" spans="1:28" ht="16.5" thickBot="1">
      <c r="A250" s="192"/>
      <c r="N250" s="257"/>
      <c r="O250" s="257"/>
      <c r="P250" s="257"/>
      <c r="Q250" s="257"/>
      <c r="R250" s="257"/>
      <c r="S250" s="257"/>
      <c r="T250" s="257"/>
      <c r="U250" s="255"/>
      <c r="V250" s="255"/>
      <c r="W250" s="190"/>
      <c r="X250" s="191"/>
      <c r="Y250" s="191"/>
      <c r="Z250" s="191"/>
      <c r="AA250" s="191"/>
      <c r="AB250" s="191"/>
    </row>
    <row r="251" spans="1:28" ht="15.75" thickBot="1">
      <c r="A251" s="163"/>
      <c r="B251" s="193" t="s">
        <v>408</v>
      </c>
      <c r="C251" s="177">
        <f>I244+I228+I210</f>
        <v>289.95620000000002</v>
      </c>
      <c r="N251" s="257"/>
      <c r="O251" s="257"/>
      <c r="P251" s="257"/>
      <c r="Q251" s="257"/>
      <c r="R251" s="257"/>
      <c r="S251" s="191"/>
      <c r="T251" s="191"/>
      <c r="U251" s="190"/>
      <c r="V251" s="190"/>
      <c r="W251" s="190"/>
      <c r="X251" s="191"/>
      <c r="Y251" s="191"/>
      <c r="Z251" s="191"/>
      <c r="AA251" s="191"/>
      <c r="AB251" s="191"/>
    </row>
    <row r="252" spans="1:28" ht="15.75" thickBot="1">
      <c r="B252" s="195"/>
      <c r="C252" s="182"/>
      <c r="N252" s="1382"/>
      <c r="O252" s="1382"/>
      <c r="P252" s="1382"/>
      <c r="Q252" s="1382"/>
      <c r="R252" s="191"/>
      <c r="S252" s="191"/>
      <c r="T252" s="191"/>
      <c r="U252" s="190"/>
      <c r="V252" s="190"/>
      <c r="W252" s="256"/>
      <c r="X252" s="191"/>
      <c r="Y252" s="191"/>
      <c r="Z252" s="191"/>
      <c r="AA252" s="191"/>
      <c r="AB252" s="191"/>
    </row>
    <row r="253" spans="1:28" ht="15" customHeight="1" thickBot="1">
      <c r="B253" s="193" t="s">
        <v>474</v>
      </c>
      <c r="C253" s="177">
        <f>J245+J229+J211</f>
        <v>5733.3870000000006</v>
      </c>
      <c r="N253" s="1382"/>
      <c r="O253" s="1382"/>
      <c r="P253" s="1382"/>
      <c r="Q253" s="1382"/>
      <c r="R253" s="191"/>
      <c r="S253" s="191"/>
      <c r="T253" s="191"/>
      <c r="U253" s="190"/>
      <c r="V253" s="190"/>
      <c r="W253" s="191"/>
      <c r="X253" s="191"/>
      <c r="Y253" s="191"/>
      <c r="Z253" s="191"/>
      <c r="AA253" s="191"/>
      <c r="AB253" s="191"/>
    </row>
    <row r="254" spans="1:28">
      <c r="B254" s="195"/>
      <c r="C254" s="182"/>
      <c r="N254" s="1382"/>
      <c r="O254" s="1382"/>
      <c r="P254" s="1382"/>
      <c r="Q254" s="1382"/>
      <c r="R254" s="191"/>
      <c r="S254" s="256"/>
      <c r="T254" s="256"/>
      <c r="U254" s="256"/>
      <c r="V254" s="263"/>
      <c r="W254" s="191"/>
      <c r="X254" s="191"/>
      <c r="Y254" s="191"/>
      <c r="Z254" s="191"/>
      <c r="AA254" s="191"/>
      <c r="AB254" s="191"/>
    </row>
    <row r="255" spans="1:28">
      <c r="B255" s="195"/>
      <c r="C255" s="182"/>
      <c r="N255" s="191"/>
      <c r="O255" s="191"/>
      <c r="P255" s="191"/>
      <c r="Q255" s="191"/>
      <c r="R255" s="191"/>
      <c r="S255" s="191"/>
      <c r="T255" s="191"/>
      <c r="U255" s="191"/>
      <c r="V255" s="191"/>
      <c r="W255" s="191"/>
      <c r="X255" s="191"/>
      <c r="Y255" s="191"/>
      <c r="Z255" s="191"/>
      <c r="AA255" s="191"/>
      <c r="AB255" s="191"/>
    </row>
    <row r="256" spans="1:28">
      <c r="B256" s="266" t="s">
        <v>410</v>
      </c>
      <c r="C256" s="182"/>
      <c r="N256" s="191"/>
      <c r="O256" s="191"/>
      <c r="P256" s="191"/>
      <c r="Q256" s="191"/>
      <c r="R256" s="191"/>
      <c r="S256" s="191"/>
      <c r="T256" s="191"/>
      <c r="U256" s="191"/>
      <c r="V256" s="191"/>
      <c r="W256" s="254"/>
      <c r="X256" s="191"/>
      <c r="Y256" s="191"/>
      <c r="Z256" s="191"/>
      <c r="AA256" s="191"/>
      <c r="AB256" s="191"/>
    </row>
    <row r="257" spans="1:24">
      <c r="B257" s="204"/>
      <c r="C257" s="266"/>
      <c r="D257" s="266"/>
      <c r="E257" s="266"/>
      <c r="N257" s="1387"/>
      <c r="O257" s="1387"/>
      <c r="P257" s="1387"/>
      <c r="Q257" s="1387"/>
      <c r="R257" s="191"/>
      <c r="S257" s="254"/>
      <c r="T257" s="254"/>
      <c r="U257" s="254"/>
      <c r="V257" s="254"/>
      <c r="W257" s="254"/>
      <c r="X257" s="191"/>
    </row>
    <row r="258" spans="1:24">
      <c r="B258" s="283" t="s">
        <v>411</v>
      </c>
      <c r="C258" s="205"/>
      <c r="D258" s="205"/>
      <c r="E258" s="205"/>
      <c r="N258" s="259"/>
      <c r="O258" s="254"/>
      <c r="P258" s="254"/>
      <c r="Q258" s="254"/>
      <c r="R258" s="254"/>
      <c r="S258" s="254"/>
      <c r="T258" s="254"/>
      <c r="U258" s="254"/>
      <c r="V258" s="254"/>
      <c r="W258" s="1381"/>
      <c r="X258" s="191"/>
    </row>
    <row r="259" spans="1:24" ht="15" customHeight="1">
      <c r="B259" s="284" t="s">
        <v>468</v>
      </c>
      <c r="C259" s="283"/>
      <c r="D259" s="283"/>
      <c r="E259" s="283"/>
      <c r="N259" s="259"/>
      <c r="O259" s="254"/>
      <c r="P259" s="254"/>
      <c r="Q259" s="254"/>
      <c r="R259" s="254"/>
      <c r="S259" s="260"/>
      <c r="T259" s="260"/>
      <c r="U259" s="1381"/>
      <c r="V259" s="1381"/>
      <c r="W259" s="1381"/>
      <c r="X259" s="191"/>
    </row>
    <row r="260" spans="1:24">
      <c r="B260" s="284"/>
      <c r="C260" s="226"/>
      <c r="D260" s="226"/>
      <c r="E260" s="226"/>
      <c r="F260" s="226"/>
      <c r="G260" s="226"/>
      <c r="H260" s="226"/>
      <c r="I260" s="226"/>
      <c r="J260" s="226"/>
      <c r="K260" s="226"/>
      <c r="N260" s="1385"/>
      <c r="O260" s="1386"/>
      <c r="P260" s="1385"/>
      <c r="Q260" s="1385"/>
      <c r="R260" s="260"/>
      <c r="S260" s="257"/>
      <c r="T260" s="257"/>
      <c r="U260" s="1381"/>
      <c r="V260" s="1381"/>
      <c r="W260" s="255"/>
      <c r="X260" s="191"/>
    </row>
    <row r="261" spans="1:24" ht="15.75" thickBot="1">
      <c r="B261" s="206"/>
      <c r="C261" s="207"/>
      <c r="D261" s="207"/>
      <c r="E261" s="207"/>
      <c r="F261" s="207"/>
      <c r="G261" s="207"/>
      <c r="H261" s="207"/>
      <c r="I261" s="207"/>
      <c r="J261" s="207"/>
      <c r="K261" s="207"/>
      <c r="N261" s="1385"/>
      <c r="O261" s="1386"/>
      <c r="P261" s="1385"/>
      <c r="Q261" s="1385"/>
      <c r="R261" s="257"/>
      <c r="S261" s="257"/>
      <c r="T261" s="257"/>
      <c r="U261" s="255"/>
      <c r="V261" s="255"/>
      <c r="W261" s="255"/>
      <c r="X261" s="191"/>
    </row>
    <row r="262" spans="1:24">
      <c r="B262" s="1350" t="s">
        <v>296</v>
      </c>
      <c r="C262" s="1352" t="s">
        <v>467</v>
      </c>
      <c r="D262" s="1354" t="s">
        <v>444</v>
      </c>
      <c r="E262" s="1354" t="s">
        <v>368</v>
      </c>
      <c r="F262" s="224" t="s">
        <v>339</v>
      </c>
      <c r="G262" s="224"/>
      <c r="H262" s="224"/>
      <c r="I262" s="1388" t="s">
        <v>98</v>
      </c>
      <c r="J262" s="1388" t="s">
        <v>413</v>
      </c>
      <c r="K262" s="1390" t="s">
        <v>414</v>
      </c>
      <c r="N262" s="257"/>
      <c r="O262" s="257"/>
      <c r="P262" s="257"/>
      <c r="Q262" s="257"/>
      <c r="R262" s="257"/>
      <c r="S262" s="257"/>
      <c r="T262" s="257"/>
      <c r="U262" s="255"/>
      <c r="V262" s="255"/>
      <c r="W262" s="255"/>
      <c r="X262" s="191"/>
    </row>
    <row r="263" spans="1:24">
      <c r="B263" s="1351"/>
      <c r="C263" s="1353"/>
      <c r="D263" s="1355"/>
      <c r="E263" s="1355"/>
      <c r="F263" s="164" t="s">
        <v>302</v>
      </c>
      <c r="G263" s="164" t="s">
        <v>303</v>
      </c>
      <c r="H263" s="164" t="s">
        <v>369</v>
      </c>
      <c r="I263" s="1389"/>
      <c r="J263" s="1389"/>
      <c r="K263" s="1391"/>
      <c r="N263" s="257"/>
      <c r="O263" s="257"/>
      <c r="P263" s="257"/>
      <c r="Q263" s="257"/>
      <c r="R263" s="257"/>
      <c r="S263" s="257"/>
      <c r="T263" s="257"/>
      <c r="U263" s="255"/>
      <c r="V263" s="255"/>
      <c r="W263" s="255"/>
      <c r="X263" s="191"/>
    </row>
    <row r="264" spans="1:24">
      <c r="B264" s="165" t="s">
        <v>415</v>
      </c>
      <c r="C264" s="166">
        <v>10</v>
      </c>
      <c r="D264" s="166">
        <v>17</v>
      </c>
      <c r="E264" s="166">
        <v>3</v>
      </c>
      <c r="F264" s="166">
        <v>0.2</v>
      </c>
      <c r="G264" s="166">
        <v>0.5</v>
      </c>
      <c r="H264" s="166">
        <v>2</v>
      </c>
      <c r="I264" s="167">
        <f>C264*D264*E264*F264*G264</f>
        <v>51</v>
      </c>
      <c r="J264" s="167">
        <f>C264*D264*E264*H264*H264*F264</f>
        <v>408</v>
      </c>
      <c r="K264" s="168">
        <f>C264*D264*E264*G264*H264</f>
        <v>510</v>
      </c>
      <c r="N264" s="257"/>
      <c r="O264" s="257"/>
      <c r="P264" s="257"/>
      <c r="Q264" s="257"/>
      <c r="R264" s="257"/>
      <c r="S264" s="257"/>
      <c r="T264" s="257"/>
      <c r="U264" s="255"/>
      <c r="V264" s="255"/>
      <c r="W264" s="255"/>
      <c r="X264" s="191"/>
    </row>
    <row r="265" spans="1:24">
      <c r="B265" s="165" t="s">
        <v>416</v>
      </c>
      <c r="C265" s="166">
        <v>10</v>
      </c>
      <c r="D265" s="166">
        <v>12</v>
      </c>
      <c r="E265" s="166">
        <v>3</v>
      </c>
      <c r="F265" s="166">
        <v>0.2</v>
      </c>
      <c r="G265" s="166">
        <v>0.6</v>
      </c>
      <c r="H265" s="166">
        <v>2</v>
      </c>
      <c r="I265" s="167">
        <f>C265*D265*E265*F265*G265</f>
        <v>43.199999999999996</v>
      </c>
      <c r="J265" s="167">
        <f>C265*D265*E265*H265*H265*F265</f>
        <v>288</v>
      </c>
      <c r="K265" s="168">
        <f>C265*D265*E265*G265*H265</f>
        <v>432</v>
      </c>
      <c r="N265" s="257"/>
      <c r="O265" s="257"/>
      <c r="P265" s="257"/>
      <c r="Q265" s="257"/>
      <c r="R265" s="257"/>
      <c r="S265" s="257"/>
      <c r="T265" s="257"/>
      <c r="U265" s="255"/>
      <c r="V265" s="255"/>
      <c r="W265" s="190"/>
      <c r="X265" s="191"/>
    </row>
    <row r="266" spans="1:24">
      <c r="B266" s="165"/>
      <c r="C266" s="166"/>
      <c r="D266" s="166"/>
      <c r="E266" s="166"/>
      <c r="F266" s="166"/>
      <c r="G266" s="166"/>
      <c r="H266" s="166"/>
      <c r="I266" s="167"/>
      <c r="J266" s="167"/>
      <c r="K266" s="168"/>
      <c r="N266" s="257"/>
      <c r="O266" s="257"/>
      <c r="P266" s="257"/>
      <c r="Q266" s="257"/>
      <c r="R266" s="257"/>
      <c r="S266" s="191"/>
      <c r="T266" s="191"/>
      <c r="U266" s="190"/>
      <c r="V266" s="190"/>
      <c r="W266" s="190"/>
      <c r="X266" s="191"/>
    </row>
    <row r="267" spans="1:24">
      <c r="B267" s="165"/>
      <c r="C267" s="166"/>
      <c r="D267" s="166"/>
      <c r="E267" s="166"/>
      <c r="F267" s="166"/>
      <c r="G267" s="166"/>
      <c r="H267" s="166"/>
      <c r="I267" s="167"/>
      <c r="J267" s="167"/>
      <c r="K267" s="168"/>
      <c r="N267" s="1382"/>
      <c r="O267" s="1382"/>
      <c r="P267" s="1382"/>
      <c r="Q267" s="1382"/>
      <c r="R267" s="191"/>
      <c r="S267" s="191"/>
      <c r="T267" s="191"/>
      <c r="U267" s="190"/>
      <c r="V267" s="190"/>
      <c r="W267" s="190"/>
      <c r="X267" s="191"/>
    </row>
    <row r="268" spans="1:24">
      <c r="B268" s="165"/>
      <c r="C268" s="166"/>
      <c r="D268" s="166"/>
      <c r="E268" s="166"/>
      <c r="F268" s="166"/>
      <c r="G268" s="166"/>
      <c r="H268" s="166"/>
      <c r="I268" s="167"/>
      <c r="J268" s="167"/>
      <c r="K268" s="168"/>
      <c r="N268" s="1382"/>
      <c r="O268" s="1382"/>
      <c r="P268" s="1382"/>
      <c r="Q268" s="1382"/>
      <c r="R268" s="191"/>
      <c r="S268" s="191"/>
      <c r="T268" s="191"/>
      <c r="U268" s="190"/>
      <c r="V268" s="190"/>
      <c r="W268" s="256"/>
      <c r="X268" s="191"/>
    </row>
    <row r="269" spans="1:24">
      <c r="B269" s="270" t="s">
        <v>110</v>
      </c>
      <c r="C269" s="271"/>
      <c r="D269" s="271"/>
      <c r="E269" s="272"/>
      <c r="F269" s="169"/>
      <c r="G269" s="169"/>
      <c r="H269" s="169"/>
      <c r="I269" s="170">
        <f>SUM(I264:I268)</f>
        <v>94.199999999999989</v>
      </c>
      <c r="J269" s="170">
        <f>SUM(J264:J268)</f>
        <v>696</v>
      </c>
      <c r="K269" s="171">
        <f>SUM(K264:K268)</f>
        <v>942</v>
      </c>
      <c r="N269" s="1382"/>
      <c r="O269" s="1382"/>
      <c r="P269" s="1382"/>
      <c r="Q269" s="1382"/>
      <c r="R269" s="191"/>
      <c r="S269" s="256"/>
      <c r="T269" s="256"/>
      <c r="U269" s="256"/>
      <c r="V269" s="263"/>
      <c r="W269" s="191"/>
      <c r="X269" s="191"/>
    </row>
    <row r="270" spans="1:24">
      <c r="B270" s="270" t="s">
        <v>359</v>
      </c>
      <c r="C270" s="271"/>
      <c r="D270" s="271"/>
      <c r="E270" s="272"/>
      <c r="F270" s="169"/>
      <c r="G270" s="169"/>
      <c r="H270" s="169"/>
      <c r="I270" s="170">
        <f>I269*0.1</f>
        <v>9.42</v>
      </c>
      <c r="J270" s="170">
        <f>J269*0.1</f>
        <v>69.600000000000009</v>
      </c>
      <c r="K270" s="171">
        <f>K269*0.1</f>
        <v>94.2</v>
      </c>
    </row>
    <row r="271" spans="1:24" ht="16.5" thickBot="1">
      <c r="A271" s="192" t="s">
        <v>409</v>
      </c>
      <c r="B271" s="267" t="s">
        <v>346</v>
      </c>
      <c r="C271" s="268"/>
      <c r="D271" s="268"/>
      <c r="E271" s="269"/>
      <c r="F271" s="172"/>
      <c r="G271" s="172"/>
      <c r="H271" s="172"/>
      <c r="I271" s="173">
        <f>SUM(I269:I270)</f>
        <v>103.61999999999999</v>
      </c>
      <c r="J271" s="173">
        <f>SUM(J269:J270)</f>
        <v>765.6</v>
      </c>
      <c r="K271" s="174">
        <f>SUM(K269:K270)</f>
        <v>1036.2</v>
      </c>
      <c r="N271" s="191"/>
      <c r="O271" s="191"/>
      <c r="P271" s="191"/>
      <c r="Q271" s="191"/>
      <c r="R271" s="191"/>
      <c r="S271" s="191"/>
      <c r="T271" s="191"/>
      <c r="U271" s="191"/>
      <c r="V271" s="191"/>
      <c r="W271" s="254"/>
      <c r="X271" s="191"/>
    </row>
    <row r="272" spans="1:24" ht="15.75" thickBot="1">
      <c r="G272" s="183" t="s">
        <v>306</v>
      </c>
      <c r="H272" s="184"/>
      <c r="I272" s="184"/>
      <c r="J272" s="208">
        <f>J271+K271</f>
        <v>1801.8000000000002</v>
      </c>
      <c r="K272" s="186"/>
      <c r="N272" s="1387"/>
      <c r="O272" s="1387"/>
      <c r="P272" s="1387"/>
      <c r="Q272" s="1387"/>
      <c r="R272" s="191"/>
      <c r="S272" s="254"/>
      <c r="T272" s="254"/>
      <c r="U272" s="254"/>
      <c r="V272" s="254"/>
      <c r="W272" s="254"/>
      <c r="X272" s="191"/>
    </row>
    <row r="273" spans="2:24">
      <c r="N273" s="259"/>
      <c r="O273" s="254"/>
      <c r="P273" s="254"/>
      <c r="Q273" s="254"/>
      <c r="R273" s="254"/>
      <c r="S273" s="254"/>
      <c r="T273" s="254"/>
      <c r="U273" s="254"/>
      <c r="V273" s="254"/>
      <c r="W273" s="1381"/>
      <c r="X273" s="191"/>
    </row>
    <row r="274" spans="2:24" ht="15" customHeight="1">
      <c r="N274" s="259"/>
      <c r="O274" s="254"/>
      <c r="P274" s="254"/>
      <c r="Q274" s="254"/>
      <c r="R274" s="254"/>
      <c r="S274" s="260"/>
      <c r="T274" s="260"/>
      <c r="U274" s="1381"/>
      <c r="V274" s="1381"/>
      <c r="W274" s="1381"/>
      <c r="X274" s="191"/>
    </row>
    <row r="275" spans="2:24">
      <c r="B275" s="266" t="s">
        <v>418</v>
      </c>
      <c r="C275" s="266"/>
      <c r="D275" s="266"/>
      <c r="E275" s="266"/>
      <c r="N275" s="1385"/>
      <c r="O275" s="1386"/>
      <c r="P275" s="1385"/>
      <c r="Q275" s="1385"/>
      <c r="R275" s="260"/>
      <c r="S275" s="257"/>
      <c r="T275" s="257"/>
      <c r="U275" s="1381"/>
      <c r="V275" s="1381"/>
      <c r="W275" s="255"/>
      <c r="X275" s="191"/>
    </row>
    <row r="276" spans="2:24">
      <c r="B276" s="284" t="s">
        <v>469</v>
      </c>
      <c r="C276" s="226"/>
      <c r="D276" s="226"/>
      <c r="E276" s="226"/>
      <c r="F276" s="226"/>
      <c r="G276" s="226"/>
      <c r="H276" s="226"/>
      <c r="I276" s="226"/>
      <c r="J276" s="226"/>
      <c r="K276" s="226"/>
      <c r="N276" s="1385"/>
      <c r="O276" s="1386"/>
      <c r="P276" s="1385"/>
      <c r="Q276" s="1385"/>
      <c r="R276" s="257"/>
      <c r="S276" s="257"/>
      <c r="T276" s="257"/>
      <c r="U276" s="255"/>
      <c r="V276" s="255"/>
      <c r="W276" s="255"/>
      <c r="X276" s="191"/>
    </row>
    <row r="277" spans="2:24" ht="15.75" thickBot="1">
      <c r="B277" s="206"/>
      <c r="C277" s="207"/>
      <c r="D277" s="207"/>
      <c r="E277" s="207"/>
      <c r="F277" s="207"/>
      <c r="G277" s="207"/>
      <c r="H277" s="207"/>
      <c r="I277" s="207"/>
      <c r="J277" s="207"/>
      <c r="K277" s="207"/>
      <c r="N277" s="257"/>
      <c r="O277" s="257"/>
      <c r="P277" s="257"/>
      <c r="Q277" s="257"/>
      <c r="R277" s="257"/>
      <c r="S277" s="257"/>
      <c r="T277" s="257"/>
      <c r="U277" s="255"/>
      <c r="V277" s="255"/>
      <c r="W277" s="255"/>
      <c r="X277" s="191"/>
    </row>
    <row r="278" spans="2:24">
      <c r="B278" s="1350" t="s">
        <v>296</v>
      </c>
      <c r="C278" s="1352" t="s">
        <v>412</v>
      </c>
      <c r="D278" s="1354" t="s">
        <v>351</v>
      </c>
      <c r="E278" s="1354" t="s">
        <v>368</v>
      </c>
      <c r="F278" s="1383" t="s">
        <v>339</v>
      </c>
      <c r="G278" s="1384"/>
      <c r="H278" s="1354" t="s">
        <v>369</v>
      </c>
      <c r="I278" s="1388" t="s">
        <v>98</v>
      </c>
      <c r="J278" s="1388" t="s">
        <v>413</v>
      </c>
      <c r="K278" s="1390" t="s">
        <v>414</v>
      </c>
      <c r="N278" s="257"/>
      <c r="O278" s="257"/>
      <c r="P278" s="257"/>
      <c r="Q278" s="257"/>
      <c r="R278" s="257"/>
      <c r="S278" s="257"/>
      <c r="T278" s="257"/>
      <c r="U278" s="255"/>
      <c r="V278" s="255"/>
      <c r="W278" s="255"/>
      <c r="X278" s="191"/>
    </row>
    <row r="279" spans="2:24">
      <c r="B279" s="1351"/>
      <c r="C279" s="1353"/>
      <c r="D279" s="1355"/>
      <c r="E279" s="1355"/>
      <c r="F279" s="164" t="s">
        <v>302</v>
      </c>
      <c r="G279" s="164" t="s">
        <v>303</v>
      </c>
      <c r="H279" s="1395"/>
      <c r="I279" s="1389"/>
      <c r="J279" s="1389"/>
      <c r="K279" s="1391"/>
      <c r="N279" s="257"/>
      <c r="O279" s="257"/>
      <c r="P279" s="257"/>
      <c r="Q279" s="257"/>
      <c r="R279" s="257"/>
      <c r="S279" s="257"/>
      <c r="T279" s="257"/>
      <c r="U279" s="255"/>
      <c r="V279" s="255"/>
      <c r="W279" s="255"/>
      <c r="X279" s="191"/>
    </row>
    <row r="280" spans="2:24">
      <c r="B280" s="165" t="s">
        <v>415</v>
      </c>
      <c r="C280" s="166">
        <v>10</v>
      </c>
      <c r="D280" s="166">
        <v>17</v>
      </c>
      <c r="E280" s="166">
        <v>3</v>
      </c>
      <c r="F280" s="166">
        <v>0.2</v>
      </c>
      <c r="G280" s="166">
        <v>0.5</v>
      </c>
      <c r="H280" s="166">
        <v>2</v>
      </c>
      <c r="I280" s="167">
        <f>C280*D280*E280*F280*G280</f>
        <v>51</v>
      </c>
      <c r="J280" s="167">
        <f>C280*D280*E280*H280*H280*F280</f>
        <v>408</v>
      </c>
      <c r="K280" s="168">
        <f>C280*D280*E280*G280*H280</f>
        <v>510</v>
      </c>
      <c r="N280" s="257"/>
      <c r="O280" s="257"/>
      <c r="P280" s="257"/>
      <c r="Q280" s="257"/>
      <c r="R280" s="257"/>
      <c r="S280" s="257"/>
      <c r="T280" s="257"/>
      <c r="U280" s="255"/>
      <c r="V280" s="255"/>
      <c r="W280" s="190"/>
      <c r="X280" s="191"/>
    </row>
    <row r="281" spans="2:24">
      <c r="B281" s="165" t="s">
        <v>416</v>
      </c>
      <c r="C281" s="166">
        <v>10</v>
      </c>
      <c r="D281" s="166">
        <v>12</v>
      </c>
      <c r="E281" s="166">
        <v>3</v>
      </c>
      <c r="F281" s="166">
        <v>0.2</v>
      </c>
      <c r="G281" s="166">
        <v>0.6</v>
      </c>
      <c r="H281" s="166">
        <v>2</v>
      </c>
      <c r="I281" s="167">
        <f>C281*D281*E281*F281*G281</f>
        <v>43.199999999999996</v>
      </c>
      <c r="J281" s="167">
        <f>C281*D281*E281*H281*H281*F281</f>
        <v>288</v>
      </c>
      <c r="K281" s="168">
        <f>C281*D281*E281*G281*H281</f>
        <v>432</v>
      </c>
      <c r="N281" s="257"/>
      <c r="O281" s="257"/>
      <c r="P281" s="257"/>
      <c r="Q281" s="257"/>
      <c r="R281" s="257"/>
      <c r="S281" s="191"/>
      <c r="T281" s="191"/>
      <c r="U281" s="190"/>
      <c r="V281" s="190"/>
      <c r="W281" s="190"/>
      <c r="X281" s="191"/>
    </row>
    <row r="282" spans="2:24">
      <c r="B282" s="165"/>
      <c r="C282" s="166"/>
      <c r="D282" s="166"/>
      <c r="E282" s="166"/>
      <c r="F282" s="166"/>
      <c r="G282" s="166"/>
      <c r="H282" s="166"/>
      <c r="I282" s="167"/>
      <c r="J282" s="167"/>
      <c r="K282" s="168"/>
      <c r="N282" s="1382"/>
      <c r="O282" s="1382"/>
      <c r="P282" s="1382"/>
      <c r="Q282" s="1382"/>
      <c r="R282" s="191"/>
      <c r="S282" s="191"/>
      <c r="T282" s="191"/>
      <c r="U282" s="190"/>
      <c r="V282" s="190"/>
      <c r="W282" s="190"/>
      <c r="X282" s="191"/>
    </row>
    <row r="283" spans="2:24">
      <c r="B283" s="165"/>
      <c r="C283" s="166"/>
      <c r="D283" s="166"/>
      <c r="E283" s="166"/>
      <c r="F283" s="166"/>
      <c r="G283" s="166"/>
      <c r="H283" s="166"/>
      <c r="I283" s="167"/>
      <c r="J283" s="167"/>
      <c r="K283" s="168"/>
      <c r="N283" s="1382"/>
      <c r="O283" s="1382"/>
      <c r="P283" s="1382"/>
      <c r="Q283" s="1382"/>
      <c r="R283" s="191"/>
      <c r="S283" s="191"/>
      <c r="T283" s="191"/>
      <c r="U283" s="190"/>
      <c r="V283" s="190"/>
      <c r="W283" s="256"/>
      <c r="X283" s="191"/>
    </row>
    <row r="284" spans="2:24">
      <c r="B284" s="165"/>
      <c r="C284" s="166"/>
      <c r="D284" s="166"/>
      <c r="E284" s="166"/>
      <c r="F284" s="166"/>
      <c r="G284" s="166"/>
      <c r="H284" s="166"/>
      <c r="I284" s="167"/>
      <c r="J284" s="167"/>
      <c r="K284" s="168"/>
      <c r="N284" s="1382"/>
      <c r="O284" s="1382"/>
      <c r="P284" s="1382"/>
      <c r="Q284" s="1382"/>
      <c r="R284" s="191"/>
      <c r="S284" s="256"/>
      <c r="T284" s="256"/>
      <c r="U284" s="256"/>
      <c r="V284" s="263"/>
      <c r="W284" s="191"/>
      <c r="X284" s="191"/>
    </row>
    <row r="285" spans="2:24">
      <c r="B285" s="270" t="s">
        <v>110</v>
      </c>
      <c r="C285" s="271"/>
      <c r="D285" s="271"/>
      <c r="E285" s="272"/>
      <c r="F285" s="169"/>
      <c r="G285" s="169"/>
      <c r="H285" s="169"/>
      <c r="I285" s="170">
        <f>SUM(I280:I284)</f>
        <v>94.199999999999989</v>
      </c>
      <c r="J285" s="170">
        <f>SUM(J280:J284)</f>
        <v>696</v>
      </c>
      <c r="K285" s="171">
        <f>SUM(K280:K284)</f>
        <v>942</v>
      </c>
      <c r="N285" s="191"/>
      <c r="O285" s="191"/>
      <c r="P285" s="191"/>
      <c r="Q285" s="191"/>
      <c r="R285" s="191"/>
      <c r="S285" s="191"/>
      <c r="T285" s="191"/>
      <c r="U285" s="191"/>
      <c r="V285" s="191"/>
      <c r="W285" s="191"/>
      <c r="X285" s="191"/>
    </row>
    <row r="286" spans="2:24">
      <c r="B286" s="270" t="s">
        <v>359</v>
      </c>
      <c r="C286" s="271"/>
      <c r="D286" s="271"/>
      <c r="E286" s="272"/>
      <c r="F286" s="169"/>
      <c r="G286" s="169"/>
      <c r="H286" s="169"/>
      <c r="I286" s="170">
        <f>I285*0.05</f>
        <v>4.71</v>
      </c>
      <c r="J286" s="170">
        <f>J285*0.05</f>
        <v>34.800000000000004</v>
      </c>
      <c r="K286" s="171">
        <f>K285*0.05</f>
        <v>47.1</v>
      </c>
      <c r="N286" s="191"/>
      <c r="O286" s="191"/>
      <c r="P286" s="191"/>
      <c r="Q286" s="191"/>
      <c r="R286" s="191"/>
      <c r="S286" s="191"/>
      <c r="T286" s="191"/>
      <c r="U286" s="191"/>
      <c r="V286" s="191"/>
      <c r="W286" s="254"/>
      <c r="X286" s="191"/>
    </row>
    <row r="287" spans="2:24" ht="15.75" thickBot="1">
      <c r="B287" s="277" t="s">
        <v>346</v>
      </c>
      <c r="C287" s="278"/>
      <c r="D287" s="278"/>
      <c r="E287" s="278"/>
      <c r="F287" s="172"/>
      <c r="G287" s="172"/>
      <c r="H287" s="172"/>
      <c r="I287" s="173">
        <f>SUM(I285:I286)</f>
        <v>98.909999999999982</v>
      </c>
      <c r="J287" s="173">
        <f>SUM(J285:J286)</f>
        <v>730.8</v>
      </c>
      <c r="K287" s="174">
        <f>SUM(K285:K286)</f>
        <v>989.1</v>
      </c>
      <c r="W287" s="207"/>
    </row>
    <row r="288" spans="2:24" ht="15.75" thickBot="1">
      <c r="G288" s="183" t="s">
        <v>306</v>
      </c>
      <c r="H288" s="184"/>
      <c r="I288" s="184"/>
      <c r="J288" s="208">
        <f>J287+K287</f>
        <v>1719.9</v>
      </c>
      <c r="K288" s="186"/>
      <c r="V288" s="191"/>
      <c r="W288" s="1381"/>
      <c r="X288" s="191"/>
    </row>
    <row r="289" spans="2:24" ht="15" customHeight="1">
      <c r="V289" s="191"/>
      <c r="W289" s="1381"/>
      <c r="X289" s="191"/>
    </row>
    <row r="290" spans="2:24">
      <c r="B290" s="266" t="s">
        <v>419</v>
      </c>
      <c r="C290" s="282"/>
      <c r="D290" s="282"/>
      <c r="E290" s="282"/>
      <c r="V290" s="191"/>
      <c r="W290" s="255"/>
      <c r="X290" s="191"/>
    </row>
    <row r="291" spans="2:24">
      <c r="B291" s="284" t="s">
        <v>470</v>
      </c>
      <c r="C291" s="226"/>
      <c r="D291" s="226"/>
      <c r="E291" s="226"/>
      <c r="F291" s="226"/>
      <c r="G291" s="226"/>
      <c r="H291" s="226"/>
      <c r="I291" s="226"/>
      <c r="J291" s="226"/>
      <c r="K291" s="226"/>
      <c r="V291" s="191"/>
      <c r="W291" s="255"/>
      <c r="X291" s="191"/>
    </row>
    <row r="292" spans="2:24" ht="15.75" thickBot="1">
      <c r="B292" s="206"/>
      <c r="C292" s="207"/>
      <c r="D292" s="207"/>
      <c r="E292" s="207"/>
      <c r="F292" s="207"/>
      <c r="G292" s="207"/>
      <c r="H292" s="207"/>
      <c r="I292" s="207"/>
      <c r="J292" s="207"/>
      <c r="K292" s="207"/>
      <c r="V292" s="191"/>
      <c r="W292" s="255"/>
      <c r="X292" s="191"/>
    </row>
    <row r="293" spans="2:24">
      <c r="B293" s="1363" t="s">
        <v>296</v>
      </c>
      <c r="C293" s="1365" t="s">
        <v>412</v>
      </c>
      <c r="D293" s="1354" t="s">
        <v>351</v>
      </c>
      <c r="E293" s="1348" t="s">
        <v>368</v>
      </c>
      <c r="F293" s="1383" t="s">
        <v>339</v>
      </c>
      <c r="G293" s="1401"/>
      <c r="H293" s="1384"/>
      <c r="I293" s="1346" t="s">
        <v>98</v>
      </c>
      <c r="J293" s="1346" t="s">
        <v>413</v>
      </c>
      <c r="K293" s="1375" t="s">
        <v>414</v>
      </c>
      <c r="V293" s="191"/>
      <c r="W293" s="255"/>
      <c r="X293" s="191"/>
    </row>
    <row r="294" spans="2:24">
      <c r="B294" s="1364"/>
      <c r="C294" s="1366"/>
      <c r="D294" s="1355"/>
      <c r="E294" s="1349"/>
      <c r="F294" s="164" t="s">
        <v>302</v>
      </c>
      <c r="G294" s="164" t="s">
        <v>303</v>
      </c>
      <c r="H294" s="164" t="s">
        <v>369</v>
      </c>
      <c r="I294" s="1347"/>
      <c r="J294" s="1347"/>
      <c r="K294" s="1376"/>
      <c r="V294" s="191"/>
      <c r="W294" s="255"/>
      <c r="X294" s="191"/>
    </row>
    <row r="295" spans="2:24">
      <c r="B295" s="165" t="s">
        <v>415</v>
      </c>
      <c r="C295" s="166">
        <v>10</v>
      </c>
      <c r="D295" s="166">
        <v>4</v>
      </c>
      <c r="E295" s="166">
        <v>3</v>
      </c>
      <c r="F295" s="166">
        <v>0.2</v>
      </c>
      <c r="G295" s="166">
        <v>0.5</v>
      </c>
      <c r="H295" s="166">
        <v>2</v>
      </c>
      <c r="I295" s="167">
        <f>C295*D295*E295*F295*G295</f>
        <v>12</v>
      </c>
      <c r="J295" s="167">
        <f>C295*D295*E295*H295*H295*F295</f>
        <v>96</v>
      </c>
      <c r="K295" s="168">
        <f>C295*D295*E295*G295*H295</f>
        <v>120</v>
      </c>
      <c r="V295" s="191"/>
      <c r="W295" s="190"/>
      <c r="X295" s="191"/>
    </row>
    <row r="296" spans="2:24">
      <c r="B296" s="165" t="s">
        <v>416</v>
      </c>
      <c r="C296" s="166">
        <v>10</v>
      </c>
      <c r="D296" s="166">
        <v>8</v>
      </c>
      <c r="E296" s="166">
        <v>3</v>
      </c>
      <c r="F296" s="166">
        <v>0.2</v>
      </c>
      <c r="G296" s="166">
        <v>0.6</v>
      </c>
      <c r="H296" s="166">
        <v>2</v>
      </c>
      <c r="I296" s="167">
        <f>C296*D296*E296*F296*G296</f>
        <v>28.799999999999997</v>
      </c>
      <c r="J296" s="167">
        <f>C296*D296*E296*H296*H296*F296</f>
        <v>192</v>
      </c>
      <c r="K296" s="168">
        <f>C296*D296*E296*G296*H296</f>
        <v>288</v>
      </c>
      <c r="V296" s="191"/>
      <c r="W296" s="190"/>
      <c r="X296" s="191"/>
    </row>
    <row r="297" spans="2:24">
      <c r="B297" s="165" t="s">
        <v>417</v>
      </c>
      <c r="C297" s="166">
        <v>10</v>
      </c>
      <c r="D297" s="166">
        <v>12</v>
      </c>
      <c r="E297" s="166">
        <v>3</v>
      </c>
      <c r="F297" s="166">
        <v>0.2</v>
      </c>
      <c r="G297" s="166">
        <v>0.2</v>
      </c>
      <c r="H297" s="166">
        <v>2</v>
      </c>
      <c r="I297" s="167">
        <f>C297*D297*E297*F297*G297</f>
        <v>14.4</v>
      </c>
      <c r="J297" s="167">
        <f>C297*D297*E297*H297*H297*F297</f>
        <v>288</v>
      </c>
      <c r="K297" s="168">
        <f>C297*D297*E297*G297*H297</f>
        <v>144</v>
      </c>
      <c r="V297" s="191"/>
      <c r="W297" s="190"/>
      <c r="X297" s="191"/>
    </row>
    <row r="298" spans="2:24">
      <c r="B298" s="165"/>
      <c r="C298" s="166"/>
      <c r="D298" s="166"/>
      <c r="E298" s="166"/>
      <c r="F298" s="166"/>
      <c r="G298" s="166"/>
      <c r="H298" s="166"/>
      <c r="I298" s="167"/>
      <c r="J298" s="167"/>
      <c r="K298" s="168"/>
      <c r="V298" s="191"/>
      <c r="W298" s="256"/>
      <c r="X298" s="191"/>
    </row>
    <row r="299" spans="2:24">
      <c r="B299" s="165"/>
      <c r="C299" s="166"/>
      <c r="D299" s="166"/>
      <c r="E299" s="166"/>
      <c r="F299" s="166"/>
      <c r="G299" s="166"/>
      <c r="H299" s="166"/>
      <c r="I299" s="167"/>
      <c r="J299" s="167"/>
      <c r="K299" s="168"/>
    </row>
    <row r="300" spans="2:24">
      <c r="B300" s="280" t="s">
        <v>110</v>
      </c>
      <c r="C300" s="281"/>
      <c r="D300" s="281"/>
      <c r="E300" s="281"/>
      <c r="F300" s="169"/>
      <c r="G300" s="169"/>
      <c r="H300" s="169"/>
      <c r="I300" s="170">
        <f>SUM(I295:I299)</f>
        <v>55.199999999999996</v>
      </c>
      <c r="J300" s="170">
        <f>SUM(J295:J299)</f>
        <v>576</v>
      </c>
      <c r="K300" s="171">
        <f>SUM(K295:K299)</f>
        <v>552</v>
      </c>
    </row>
    <row r="301" spans="2:24">
      <c r="B301" s="280" t="s">
        <v>359</v>
      </c>
      <c r="C301" s="281"/>
      <c r="D301" s="281"/>
      <c r="E301" s="281"/>
      <c r="F301" s="169"/>
      <c r="G301" s="169"/>
      <c r="H301" s="169"/>
      <c r="I301" s="170">
        <f>I300*0.1</f>
        <v>5.52</v>
      </c>
      <c r="J301" s="170">
        <f>J300*0.1</f>
        <v>57.6</v>
      </c>
      <c r="K301" s="171">
        <f>K300*0.1</f>
        <v>55.2</v>
      </c>
    </row>
    <row r="302" spans="2:24" ht="15.75" thickBot="1">
      <c r="B302" s="277" t="s">
        <v>346</v>
      </c>
      <c r="C302" s="278"/>
      <c r="D302" s="278"/>
      <c r="E302" s="278"/>
      <c r="F302" s="172"/>
      <c r="G302" s="172"/>
      <c r="H302" s="172"/>
      <c r="I302" s="173">
        <f>SUM(I300:I301)</f>
        <v>60.72</v>
      </c>
      <c r="J302" s="173">
        <f>SUM(J300:J301)</f>
        <v>633.6</v>
      </c>
      <c r="K302" s="174">
        <f>SUM(K300:K301)</f>
        <v>607.20000000000005</v>
      </c>
    </row>
    <row r="303" spans="2:24" ht="15.75" thickBot="1">
      <c r="G303" s="183" t="s">
        <v>306</v>
      </c>
      <c r="H303" s="184"/>
      <c r="I303" s="184"/>
      <c r="J303" s="208">
        <f>J302+K302</f>
        <v>1240.8000000000002</v>
      </c>
      <c r="K303" s="186"/>
    </row>
    <row r="305" spans="1:4" ht="15.75" thickBot="1"/>
    <row r="306" spans="1:4" ht="16.5" thickBot="1">
      <c r="A306" s="192" t="s">
        <v>420</v>
      </c>
      <c r="B306" s="193" t="s">
        <v>408</v>
      </c>
      <c r="C306" s="177">
        <f>I302+I287+I271</f>
        <v>263.25</v>
      </c>
    </row>
    <row r="307" spans="1:4" ht="16.5" thickBot="1">
      <c r="A307" s="192"/>
      <c r="B307" s="195"/>
      <c r="C307" s="182"/>
    </row>
    <row r="308" spans="1:4" ht="16.5" thickBot="1">
      <c r="A308" s="192" t="s">
        <v>421</v>
      </c>
      <c r="B308" s="193" t="s">
        <v>422</v>
      </c>
      <c r="C308" s="177">
        <f>J303+J288+J272</f>
        <v>4762.5</v>
      </c>
    </row>
    <row r="309" spans="1:4" ht="15.75">
      <c r="A309" s="192"/>
      <c r="B309" s="195"/>
      <c r="C309" s="182"/>
    </row>
    <row r="310" spans="1:4" ht="15.75" thickBot="1"/>
    <row r="311" spans="1:4" ht="16.5" thickBot="1">
      <c r="A311" s="192" t="s">
        <v>476</v>
      </c>
      <c r="B311" s="276" t="s">
        <v>423</v>
      </c>
      <c r="C311" s="209">
        <v>57.3</v>
      </c>
    </row>
    <row r="312" spans="1:4" ht="15.75" thickBot="1">
      <c r="B312" s="210"/>
      <c r="C312" s="210"/>
      <c r="D312" s="211"/>
    </row>
    <row r="313" spans="1:4" ht="15" customHeight="1" thickBot="1">
      <c r="A313" s="192" t="s">
        <v>475</v>
      </c>
      <c r="B313" s="193" t="s">
        <v>424</v>
      </c>
      <c r="C313" s="177">
        <v>822.4</v>
      </c>
      <c r="D313" s="211"/>
    </row>
    <row r="314" spans="1:4">
      <c r="B314" s="210"/>
      <c r="C314" s="210"/>
      <c r="D314" s="211"/>
    </row>
    <row r="315" spans="1:4" ht="15.75" thickBot="1">
      <c r="B315" s="210"/>
      <c r="C315" s="210"/>
      <c r="D315" s="211"/>
    </row>
    <row r="316" spans="1:4" ht="16.5" thickBot="1">
      <c r="A316" s="192" t="s">
        <v>477</v>
      </c>
      <c r="B316" s="193" t="s">
        <v>478</v>
      </c>
      <c r="C316" s="177">
        <f>C311+C306+C251+C191+C160+C80+C59</f>
        <v>2165.0795000000003</v>
      </c>
      <c r="D316" s="211"/>
    </row>
    <row r="317" spans="1:4">
      <c r="B317" s="210"/>
      <c r="C317" s="210"/>
      <c r="D317" s="211"/>
    </row>
    <row r="318" spans="1:4" ht="15.75" thickBot="1"/>
    <row r="319" spans="1:4" ht="15.75" thickBot="1">
      <c r="B319" s="276" t="s">
        <v>425</v>
      </c>
      <c r="C319" s="177">
        <f>0.14*C316</f>
        <v>303.11113000000006</v>
      </c>
    </row>
    <row r="320" spans="1:4" ht="15.75" thickBot="1"/>
    <row r="321" spans="1:6" ht="15.75" thickBot="1">
      <c r="B321" s="276" t="s">
        <v>307</v>
      </c>
      <c r="C321" s="177">
        <f>D21+J38+J54+J78</f>
        <v>6616.13</v>
      </c>
    </row>
    <row r="322" spans="1:6" ht="15.75" thickBot="1"/>
    <row r="323" spans="1:6" ht="15.75" customHeight="1" thickBot="1">
      <c r="B323" s="279" t="s">
        <v>426</v>
      </c>
      <c r="C323" s="212">
        <f>C321</f>
        <v>6616.13</v>
      </c>
    </row>
    <row r="324" spans="1:6" ht="15.75" thickBot="1">
      <c r="B324" s="213"/>
      <c r="C324" s="214"/>
    </row>
    <row r="325" spans="1:6" ht="15.75" thickBot="1">
      <c r="B325" s="276" t="s">
        <v>479</v>
      </c>
      <c r="C325" s="177">
        <f>C162</f>
        <v>3213</v>
      </c>
    </row>
    <row r="326" spans="1:6" ht="15.75" thickBot="1">
      <c r="B326" s="210"/>
      <c r="C326" s="182"/>
    </row>
    <row r="327" spans="1:6" ht="15.75" thickBot="1">
      <c r="B327" s="276" t="s">
        <v>480</v>
      </c>
      <c r="C327" s="177">
        <v>1447.6</v>
      </c>
    </row>
    <row r="328" spans="1:6" ht="15" customHeight="1">
      <c r="B328" s="210"/>
      <c r="C328" s="182"/>
    </row>
    <row r="329" spans="1:6" ht="15.75" thickBot="1">
      <c r="B329" s="213"/>
      <c r="C329" s="214"/>
    </row>
    <row r="330" spans="1:6" ht="15.75" thickBot="1">
      <c r="A330" s="161">
        <v>23</v>
      </c>
      <c r="B330" s="276" t="s">
        <v>427</v>
      </c>
      <c r="C330" s="177">
        <v>475.2</v>
      </c>
    </row>
    <row r="331" spans="1:6">
      <c r="B331" s="210"/>
      <c r="C331" s="182"/>
    </row>
    <row r="332" spans="1:6" ht="15.75" thickBot="1">
      <c r="B332" s="210"/>
      <c r="C332" s="182"/>
    </row>
    <row r="333" spans="1:6" ht="15.75" thickBot="1">
      <c r="B333" s="276" t="s">
        <v>481</v>
      </c>
      <c r="C333" s="177">
        <v>818.4</v>
      </c>
    </row>
    <row r="334" spans="1:6">
      <c r="B334" s="210"/>
      <c r="C334" s="210"/>
      <c r="D334" s="182"/>
    </row>
    <row r="335" spans="1:6" ht="15.75" thickBot="1"/>
    <row r="336" spans="1:6">
      <c r="B336" s="311" t="s">
        <v>428</v>
      </c>
      <c r="C336" s="312"/>
      <c r="D336" s="316" t="s">
        <v>338</v>
      </c>
      <c r="E336" s="317" t="s">
        <v>99</v>
      </c>
      <c r="F336" s="318" t="s">
        <v>98</v>
      </c>
    </row>
    <row r="337" spans="1:6">
      <c r="A337" s="161">
        <v>24</v>
      </c>
      <c r="B337" s="274" t="s">
        <v>486</v>
      </c>
      <c r="C337" s="275"/>
      <c r="D337" s="166">
        <v>40</v>
      </c>
      <c r="E337" s="319">
        <f>D337*1.6*2.2</f>
        <v>140.80000000000001</v>
      </c>
      <c r="F337" s="319">
        <f>0.2*0.2*2*D337</f>
        <v>3.2000000000000006</v>
      </c>
    </row>
    <row r="338" spans="1:6">
      <c r="B338" s="274" t="s">
        <v>429</v>
      </c>
      <c r="C338" s="275"/>
      <c r="D338" s="166">
        <v>200</v>
      </c>
      <c r="E338" s="319">
        <f>D338*1*2.2</f>
        <v>440.00000000000006</v>
      </c>
      <c r="F338" s="319">
        <f>0.2*0.2*1.4*D338</f>
        <v>11.200000000000001</v>
      </c>
    </row>
    <row r="339" spans="1:6" ht="15.75" thickBot="1">
      <c r="B339" s="274" t="s">
        <v>430</v>
      </c>
      <c r="C339" s="275"/>
      <c r="D339" s="166">
        <v>160</v>
      </c>
      <c r="E339" s="321">
        <f>D339*1*2.2</f>
        <v>352</v>
      </c>
      <c r="F339" s="319">
        <f>0.2*0.2*1.4*D339</f>
        <v>8.9600000000000009</v>
      </c>
    </row>
    <row r="340" spans="1:6" ht="15.75" thickBot="1">
      <c r="A340" s="161">
        <v>25</v>
      </c>
      <c r="B340" s="234" t="s">
        <v>438</v>
      </c>
      <c r="C340" s="235"/>
      <c r="D340" s="238">
        <f>SUM(D337:D339)</f>
        <v>400</v>
      </c>
      <c r="E340" s="323">
        <f>SUM(E337:E339)</f>
        <v>932.80000000000007</v>
      </c>
      <c r="F340" s="319"/>
    </row>
    <row r="341" spans="1:6">
      <c r="B341" s="274" t="s">
        <v>490</v>
      </c>
      <c r="C341" s="275"/>
      <c r="D341" s="166">
        <v>140</v>
      </c>
      <c r="E341" s="322">
        <f>D341*1*1.5</f>
        <v>210</v>
      </c>
      <c r="F341" s="319">
        <f>0.2*0.2*1.4*D341</f>
        <v>7.8400000000000007</v>
      </c>
    </row>
    <row r="342" spans="1:6">
      <c r="B342" s="274" t="s">
        <v>487</v>
      </c>
      <c r="C342" s="275"/>
      <c r="D342" s="166">
        <v>60</v>
      </c>
      <c r="E342" s="319">
        <f>D342*1*1.2</f>
        <v>72</v>
      </c>
      <c r="F342" s="319">
        <f>0.2*0.2*1.4*D342</f>
        <v>3.3600000000000003</v>
      </c>
    </row>
    <row r="343" spans="1:6">
      <c r="A343" s="161">
        <v>26</v>
      </c>
      <c r="B343" s="274" t="s">
        <v>488</v>
      </c>
      <c r="C343" s="275"/>
      <c r="D343" s="166">
        <v>140</v>
      </c>
      <c r="E343" s="319">
        <f>D343*0.8*0.8</f>
        <v>89.600000000000009</v>
      </c>
      <c r="F343" s="319">
        <f>0.2*0.2*1.2*D343</f>
        <v>6.7200000000000015</v>
      </c>
    </row>
    <row r="344" spans="1:6" ht="18" customHeight="1" thickBot="1">
      <c r="B344" s="274" t="s">
        <v>489</v>
      </c>
      <c r="C344" s="275"/>
      <c r="D344" s="166">
        <v>40</v>
      </c>
      <c r="E344" s="321">
        <f>D344*0.9*1.8</f>
        <v>64.8</v>
      </c>
      <c r="F344" s="319">
        <f>0.2*0.2*1*D344</f>
        <v>1.6000000000000003</v>
      </c>
    </row>
    <row r="345" spans="1:6" ht="15.75" thickBot="1">
      <c r="A345" s="161">
        <v>27</v>
      </c>
      <c r="B345" s="313" t="s">
        <v>439</v>
      </c>
      <c r="C345" s="314"/>
      <c r="D345" s="315">
        <f>SUM(D341:D344)</f>
        <v>380</v>
      </c>
      <c r="E345" s="323">
        <f>SUM(E341:E344)</f>
        <v>436.40000000000003</v>
      </c>
      <c r="F345" s="320">
        <f>SUM(F337:F344)</f>
        <v>42.88</v>
      </c>
    </row>
    <row r="346" spans="1:6">
      <c r="B346" s="273"/>
      <c r="C346" s="273"/>
      <c r="D346" s="215"/>
    </row>
    <row r="347" spans="1:6" ht="15.75" thickBot="1">
      <c r="B347" s="273"/>
      <c r="C347" s="273"/>
      <c r="D347" s="215"/>
    </row>
    <row r="348" spans="1:6">
      <c r="A348" s="161">
        <v>28</v>
      </c>
      <c r="B348" s="216" t="s">
        <v>10</v>
      </c>
      <c r="C348" s="217" t="s">
        <v>99</v>
      </c>
      <c r="D348" s="215"/>
    </row>
    <row r="349" spans="1:6" ht="15.75" thickBot="1">
      <c r="B349" s="218" t="s">
        <v>309</v>
      </c>
      <c r="C349" s="219">
        <f>M228+M210+L77</f>
        <v>14556.6</v>
      </c>
      <c r="D349" s="215"/>
    </row>
    <row r="350" spans="1:6" ht="15.75" thickBot="1">
      <c r="A350" s="161">
        <v>29</v>
      </c>
      <c r="B350" s="273"/>
      <c r="C350" s="273"/>
      <c r="D350" s="215"/>
    </row>
    <row r="351" spans="1:6" ht="15.75" thickBot="1">
      <c r="B351" s="220" t="s">
        <v>1</v>
      </c>
      <c r="C351" s="221">
        <v>24713.5</v>
      </c>
      <c r="D351" s="215"/>
    </row>
    <row r="352" spans="1:6">
      <c r="A352" s="161">
        <v>30</v>
      </c>
    </row>
    <row r="353" spans="1:3" ht="15.75" thickBot="1"/>
    <row r="354" spans="1:3" ht="15.75" thickBot="1">
      <c r="A354" s="161">
        <v>31</v>
      </c>
      <c r="B354" s="220" t="s">
        <v>2</v>
      </c>
      <c r="C354" s="221">
        <v>9881.1</v>
      </c>
    </row>
    <row r="356" spans="1:3" ht="15.75" thickBot="1">
      <c r="A356" s="161">
        <v>32</v>
      </c>
    </row>
    <row r="357" spans="1:3" ht="15.75" thickBot="1">
      <c r="B357" s="216" t="s">
        <v>3</v>
      </c>
      <c r="C357" s="219">
        <f>C351</f>
        <v>24713.5</v>
      </c>
    </row>
    <row r="358" spans="1:3" ht="15.75" thickBot="1">
      <c r="A358" s="161">
        <v>33</v>
      </c>
    </row>
    <row r="359" spans="1:3" ht="15.75" thickBot="1">
      <c r="B359" s="220" t="s">
        <v>431</v>
      </c>
      <c r="C359" s="221">
        <f>C354</f>
        <v>9881.1</v>
      </c>
    </row>
    <row r="360" spans="1:3">
      <c r="A360" s="161">
        <v>34</v>
      </c>
    </row>
    <row r="361" spans="1:3" ht="15.75" thickBot="1"/>
    <row r="362" spans="1:3" ht="15.75" thickBot="1">
      <c r="B362" s="220" t="s">
        <v>484</v>
      </c>
      <c r="C362" s="221">
        <v>4372.28</v>
      </c>
    </row>
    <row r="363" spans="1:3" ht="15.75" thickBot="1">
      <c r="A363" s="161">
        <v>34</v>
      </c>
    </row>
    <row r="364" spans="1:3" ht="15.75" thickBot="1">
      <c r="B364" s="220" t="s">
        <v>432</v>
      </c>
      <c r="C364" s="221">
        <v>1123.8</v>
      </c>
    </row>
    <row r="365" spans="1:3" ht="15.75" thickBot="1">
      <c r="A365" s="161">
        <v>35</v>
      </c>
    </row>
    <row r="366" spans="1:3" ht="15.75" thickBot="1">
      <c r="B366" s="220" t="s">
        <v>433</v>
      </c>
      <c r="C366" s="221">
        <v>4646.3999999999996</v>
      </c>
    </row>
    <row r="367" spans="1:3" ht="15.75" thickBot="1">
      <c r="A367" s="161">
        <v>36</v>
      </c>
    </row>
    <row r="368" spans="1:3" ht="15.75" thickBot="1">
      <c r="B368" s="220" t="s">
        <v>485</v>
      </c>
      <c r="C368" s="221">
        <v>411.84</v>
      </c>
    </row>
    <row r="369" spans="1:3" ht="15.75" thickBot="1">
      <c r="A369" s="161">
        <v>37</v>
      </c>
    </row>
    <row r="370" spans="1:3" ht="15.75" thickBot="1">
      <c r="B370" s="220" t="s">
        <v>434</v>
      </c>
      <c r="C370" s="221">
        <v>1056</v>
      </c>
    </row>
    <row r="371" spans="1:3" ht="15.75" thickBot="1"/>
    <row r="372" spans="1:3" ht="15.75" thickBot="1">
      <c r="B372" s="220" t="s">
        <v>310</v>
      </c>
      <c r="C372" s="221">
        <v>0</v>
      </c>
    </row>
    <row r="373" spans="1:3" ht="15.75" thickBot="1"/>
    <row r="374" spans="1:3" ht="29.25" thickBot="1">
      <c r="B374" s="220" t="s">
        <v>435</v>
      </c>
      <c r="C374" s="221">
        <v>992</v>
      </c>
    </row>
    <row r="375" spans="1:3">
      <c r="B375" s="240"/>
      <c r="C375" s="241"/>
    </row>
    <row r="376" spans="1:3" ht="15.75" thickBot="1">
      <c r="B376" s="240"/>
      <c r="C376" s="241"/>
    </row>
    <row r="377" spans="1:3" ht="15.75" thickBot="1">
      <c r="B377" s="220" t="s">
        <v>441</v>
      </c>
      <c r="C377" s="221">
        <f>C374*0.7</f>
        <v>694.4</v>
      </c>
    </row>
    <row r="378" spans="1:3" ht="15.75" thickBot="1"/>
    <row r="379" spans="1:3" ht="57.75" thickBot="1">
      <c r="B379" s="220" t="s">
        <v>311</v>
      </c>
      <c r="C379" s="222">
        <v>3639.46</v>
      </c>
    </row>
    <row r="380" spans="1:3" ht="15.75" thickBot="1"/>
    <row r="381" spans="1:3" ht="15.75" thickBot="1">
      <c r="B381" s="220" t="s">
        <v>436</v>
      </c>
      <c r="C381" s="222">
        <v>957.2</v>
      </c>
    </row>
    <row r="382" spans="1:3" ht="15.75" thickBot="1"/>
    <row r="383" spans="1:3" ht="15.75" thickBot="1">
      <c r="B383" s="220" t="s">
        <v>440</v>
      </c>
      <c r="C383" s="222">
        <v>352</v>
      </c>
    </row>
  </sheetData>
  <mergeCells count="261">
    <mergeCell ref="N162:Q162"/>
    <mergeCell ref="F198:G198"/>
    <mergeCell ref="I198:I199"/>
    <mergeCell ref="Q181:Q182"/>
    <mergeCell ref="N197:Q197"/>
    <mergeCell ref="F293:H293"/>
    <mergeCell ref="F278:G278"/>
    <mergeCell ref="H278:H279"/>
    <mergeCell ref="K119:K120"/>
    <mergeCell ref="I119:I120"/>
    <mergeCell ref="J119:J120"/>
    <mergeCell ref="H177:H178"/>
    <mergeCell ref="I177:I178"/>
    <mergeCell ref="J147:J148"/>
    <mergeCell ref="I147:I148"/>
    <mergeCell ref="Q165:Q166"/>
    <mergeCell ref="J177:J178"/>
    <mergeCell ref="N193:Q193"/>
    <mergeCell ref="N275:N276"/>
    <mergeCell ref="N242:Q242"/>
    <mergeCell ref="P245:P246"/>
    <mergeCell ref="Q245:Q246"/>
    <mergeCell ref="N228:N229"/>
    <mergeCell ref="N190:Q190"/>
    <mergeCell ref="L67:L68"/>
    <mergeCell ref="H166:H167"/>
    <mergeCell ref="I135:I136"/>
    <mergeCell ref="J135:J136"/>
    <mergeCell ref="K135:K136"/>
    <mergeCell ref="H135:H136"/>
    <mergeCell ref="K166:K167"/>
    <mergeCell ref="J166:J167"/>
    <mergeCell ref="I166:I167"/>
    <mergeCell ref="I67:I68"/>
    <mergeCell ref="J67:J68"/>
    <mergeCell ref="K67:K68"/>
    <mergeCell ref="J100:J101"/>
    <mergeCell ref="K100:K101"/>
    <mergeCell ref="F100:H100"/>
    <mergeCell ref="I100:I101"/>
    <mergeCell ref="F135:G135"/>
    <mergeCell ref="F147:G147"/>
    <mergeCell ref="K147:K148"/>
    <mergeCell ref="F119:G119"/>
    <mergeCell ref="W288:W289"/>
    <mergeCell ref="J293:J294"/>
    <mergeCell ref="K293:K294"/>
    <mergeCell ref="N252:Q252"/>
    <mergeCell ref="N253:Q253"/>
    <mergeCell ref="N245:N246"/>
    <mergeCell ref="N284:Q284"/>
    <mergeCell ref="N283:Q283"/>
    <mergeCell ref="N257:Q257"/>
    <mergeCell ref="O245:O246"/>
    <mergeCell ref="N282:Q282"/>
    <mergeCell ref="W273:W274"/>
    <mergeCell ref="N272:Q272"/>
    <mergeCell ref="Q260:Q261"/>
    <mergeCell ref="P260:P261"/>
    <mergeCell ref="O260:O261"/>
    <mergeCell ref="N260:N261"/>
    <mergeCell ref="V259:V260"/>
    <mergeCell ref="U259:U260"/>
    <mergeCell ref="V274:V275"/>
    <mergeCell ref="U274:U275"/>
    <mergeCell ref="N269:Q269"/>
    <mergeCell ref="N268:Q268"/>
    <mergeCell ref="N267:Q267"/>
    <mergeCell ref="J262:J263"/>
    <mergeCell ref="K262:K263"/>
    <mergeCell ref="B293:B294"/>
    <mergeCell ref="C293:C294"/>
    <mergeCell ref="D293:D294"/>
    <mergeCell ref="E293:E294"/>
    <mergeCell ref="I293:I294"/>
    <mergeCell ref="K278:K279"/>
    <mergeCell ref="Q275:Q276"/>
    <mergeCell ref="P275:P276"/>
    <mergeCell ref="O275:O276"/>
    <mergeCell ref="B278:B279"/>
    <mergeCell ref="C278:C279"/>
    <mergeCell ref="D278:D279"/>
    <mergeCell ref="E278:E279"/>
    <mergeCell ref="I278:I279"/>
    <mergeCell ref="J278:J279"/>
    <mergeCell ref="B262:B263"/>
    <mergeCell ref="C262:C263"/>
    <mergeCell ref="D262:D263"/>
    <mergeCell ref="E262:E263"/>
    <mergeCell ref="I262:I263"/>
    <mergeCell ref="W258:W259"/>
    <mergeCell ref="U244:U245"/>
    <mergeCell ref="W214:W215"/>
    <mergeCell ref="B228:E228"/>
    <mergeCell ref="B229:E229"/>
    <mergeCell ref="B232:E232"/>
    <mergeCell ref="B235:B236"/>
    <mergeCell ref="O228:O229"/>
    <mergeCell ref="P228:P229"/>
    <mergeCell ref="Q228:Q229"/>
    <mergeCell ref="K235:K236"/>
    <mergeCell ref="N239:Q239"/>
    <mergeCell ref="V244:V245"/>
    <mergeCell ref="N254:Q254"/>
    <mergeCell ref="N240:Q240"/>
    <mergeCell ref="W242:W243"/>
    <mergeCell ref="O224:R224"/>
    <mergeCell ref="M216:M217"/>
    <mergeCell ref="U227:U228"/>
    <mergeCell ref="V227:V228"/>
    <mergeCell ref="B243:E243"/>
    <mergeCell ref="H235:H236"/>
    <mergeCell ref="I235:I236"/>
    <mergeCell ref="I216:I217"/>
    <mergeCell ref="J235:J236"/>
    <mergeCell ref="E235:E236"/>
    <mergeCell ref="F235:G235"/>
    <mergeCell ref="B227:E227"/>
    <mergeCell ref="F216:G216"/>
    <mergeCell ref="C235:C236"/>
    <mergeCell ref="D235:D236"/>
    <mergeCell ref="W196:W197"/>
    <mergeCell ref="N212:Q212"/>
    <mergeCell ref="N211:Q211"/>
    <mergeCell ref="N210:Q210"/>
    <mergeCell ref="W199:W200"/>
    <mergeCell ref="V199:V200"/>
    <mergeCell ref="M198:M199"/>
    <mergeCell ref="R200:R201"/>
    <mergeCell ref="Q200:Q201"/>
    <mergeCell ref="P200:P201"/>
    <mergeCell ref="O200:O201"/>
    <mergeCell ref="J216:J217"/>
    <mergeCell ref="K216:K217"/>
    <mergeCell ref="L216:L217"/>
    <mergeCell ref="B216:B217"/>
    <mergeCell ref="C216:C217"/>
    <mergeCell ref="D216:D217"/>
    <mergeCell ref="B186:E186"/>
    <mergeCell ref="U180:U181"/>
    <mergeCell ref="V180:V181"/>
    <mergeCell ref="N178:Q178"/>
    <mergeCell ref="D198:D199"/>
    <mergeCell ref="E198:E199"/>
    <mergeCell ref="J198:J199"/>
    <mergeCell ref="K198:K199"/>
    <mergeCell ref="L198:L199"/>
    <mergeCell ref="K177:K178"/>
    <mergeCell ref="F177:G177"/>
    <mergeCell ref="E177:E178"/>
    <mergeCell ref="D177:D178"/>
    <mergeCell ref="B185:E185"/>
    <mergeCell ref="B184:E184"/>
    <mergeCell ref="P181:P182"/>
    <mergeCell ref="N181:N182"/>
    <mergeCell ref="O181:O182"/>
    <mergeCell ref="N194:Q194"/>
    <mergeCell ref="W159:W160"/>
    <mergeCell ref="N153:Q153"/>
    <mergeCell ref="B153:E153"/>
    <mergeCell ref="B154:E154"/>
    <mergeCell ref="B155:E155"/>
    <mergeCell ref="B208:E208"/>
    <mergeCell ref="N171:Q171"/>
    <mergeCell ref="B209:E209"/>
    <mergeCell ref="N172:Q172"/>
    <mergeCell ref="F166:G166"/>
    <mergeCell ref="E166:E167"/>
    <mergeCell ref="D166:D167"/>
    <mergeCell ref="C166:C167"/>
    <mergeCell ref="B166:B167"/>
    <mergeCell ref="B171:E171"/>
    <mergeCell ref="N154:Q154"/>
    <mergeCell ref="W177:W178"/>
    <mergeCell ref="V164:V165"/>
    <mergeCell ref="U164:U165"/>
    <mergeCell ref="N173:Q173"/>
    <mergeCell ref="N155:Q155"/>
    <mergeCell ref="N165:N166"/>
    <mergeCell ref="O165:O166"/>
    <mergeCell ref="P165:P166"/>
    <mergeCell ref="B100:B101"/>
    <mergeCell ref="C100:C101"/>
    <mergeCell ref="D100:D101"/>
    <mergeCell ref="E100:E101"/>
    <mergeCell ref="B140:E140"/>
    <mergeCell ref="B141:E141"/>
    <mergeCell ref="B119:B120"/>
    <mergeCell ref="C119:C120"/>
    <mergeCell ref="D119:D120"/>
    <mergeCell ref="E119:E120"/>
    <mergeCell ref="B106:E106"/>
    <mergeCell ref="B107:E107"/>
    <mergeCell ref="B108:E108"/>
    <mergeCell ref="B244:E244"/>
    <mergeCell ref="B245:E245"/>
    <mergeCell ref="B142:E142"/>
    <mergeCell ref="B128:E128"/>
    <mergeCell ref="B129:E129"/>
    <mergeCell ref="B135:B136"/>
    <mergeCell ref="C135:C136"/>
    <mergeCell ref="D135:D136"/>
    <mergeCell ref="E135:E136"/>
    <mergeCell ref="B130:E130"/>
    <mergeCell ref="B172:E172"/>
    <mergeCell ref="B170:E170"/>
    <mergeCell ref="B213:E213"/>
    <mergeCell ref="B147:B148"/>
    <mergeCell ref="E147:E148"/>
    <mergeCell ref="D147:D148"/>
    <mergeCell ref="C147:C148"/>
    <mergeCell ref="B210:E210"/>
    <mergeCell ref="B198:B199"/>
    <mergeCell ref="C198:C199"/>
    <mergeCell ref="B177:B178"/>
    <mergeCell ref="C177:C178"/>
    <mergeCell ref="E216:E217"/>
    <mergeCell ref="B195:E195"/>
    <mergeCell ref="E43:E44"/>
    <mergeCell ref="F43:H44"/>
    <mergeCell ref="B37:E37"/>
    <mergeCell ref="B35:E35"/>
    <mergeCell ref="B5:K5"/>
    <mergeCell ref="B7:B8"/>
    <mergeCell ref="C7:C8"/>
    <mergeCell ref="D7:D8"/>
    <mergeCell ref="E7:E8"/>
    <mergeCell ref="J27:J28"/>
    <mergeCell ref="K27:K28"/>
    <mergeCell ref="J7:J8"/>
    <mergeCell ref="K7:K8"/>
    <mergeCell ref="B25:K25"/>
    <mergeCell ref="F7:H7"/>
    <mergeCell ref="I7:I8"/>
    <mergeCell ref="B12:E12"/>
    <mergeCell ref="B13:E13"/>
    <mergeCell ref="B14:E14"/>
    <mergeCell ref="B76:E76"/>
    <mergeCell ref="B77:E77"/>
    <mergeCell ref="B51:E51"/>
    <mergeCell ref="I27:I28"/>
    <mergeCell ref="B52:E52"/>
    <mergeCell ref="E27:E28"/>
    <mergeCell ref="B67:B68"/>
    <mergeCell ref="F27:H27"/>
    <mergeCell ref="C67:C68"/>
    <mergeCell ref="D67:D68"/>
    <mergeCell ref="E67:E68"/>
    <mergeCell ref="B75:E75"/>
    <mergeCell ref="F67:G67"/>
    <mergeCell ref="I43:I44"/>
    <mergeCell ref="B43:B44"/>
    <mergeCell ref="C43:C44"/>
    <mergeCell ref="D43:D44"/>
    <mergeCell ref="B36:E36"/>
    <mergeCell ref="B41:K41"/>
    <mergeCell ref="B27:B28"/>
    <mergeCell ref="C27:C28"/>
    <mergeCell ref="D27:D28"/>
    <mergeCell ref="J43:J44"/>
    <mergeCell ref="K43:K44"/>
  </mergeCells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256"/>
  <sheetViews>
    <sheetView topLeftCell="A235" zoomScaleNormal="80" workbookViewId="0">
      <selection activeCell="F202" sqref="F202"/>
    </sheetView>
  </sheetViews>
  <sheetFormatPr defaultColWidth="9.140625" defaultRowHeight="12.75"/>
  <cols>
    <col min="1" max="2" width="8.42578125" style="483" customWidth="1"/>
    <col min="3" max="3" width="3.42578125" style="482" bestFit="1" customWidth="1"/>
    <col min="4" max="4" width="5.7109375" style="483" customWidth="1"/>
    <col min="5" max="5" width="48.7109375" style="483" bestFit="1" customWidth="1"/>
    <col min="6" max="6" width="17.42578125" style="483" customWidth="1"/>
    <col min="7" max="7" width="14.85546875" style="484" bestFit="1" customWidth="1"/>
    <col min="8" max="8" width="10.85546875" style="483" bestFit="1" customWidth="1"/>
    <col min="9" max="9" width="17.5703125" style="484" bestFit="1" customWidth="1"/>
    <col min="10" max="11" width="0" style="483" hidden="1" customWidth="1"/>
    <col min="12" max="12" width="15.7109375" style="483" hidden="1" customWidth="1"/>
    <col min="13" max="13" width="14.5703125" style="483" hidden="1" customWidth="1"/>
    <col min="14" max="14" width="18.42578125" style="486" hidden="1" customWidth="1"/>
    <col min="15" max="15" width="15.7109375" style="482" hidden="1" customWidth="1"/>
    <col min="16" max="16" width="17" style="483" hidden="1" customWidth="1"/>
    <col min="17" max="22" width="10.7109375" style="483" customWidth="1"/>
    <col min="23" max="23" width="14.5703125" style="483" bestFit="1" customWidth="1"/>
    <col min="24" max="24" width="9.140625" style="483"/>
    <col min="25" max="25" width="38.28515625" style="483" customWidth="1"/>
    <col min="26" max="26" width="55.28515625" style="483" customWidth="1"/>
    <col min="27" max="27" width="13.85546875" style="483" bestFit="1" customWidth="1"/>
    <col min="28" max="34" width="9.140625" style="483"/>
    <col min="35" max="35" width="56.5703125" style="483" bestFit="1" customWidth="1"/>
    <col min="36" max="16384" width="9.140625" style="483"/>
  </cols>
  <sheetData>
    <row r="2" spans="3:38" ht="13.5" thickBot="1">
      <c r="H2" s="485"/>
    </row>
    <row r="3" spans="3:38" ht="19.5" thickBot="1">
      <c r="C3" s="487" t="s">
        <v>294</v>
      </c>
      <c r="E3" s="1464" t="s">
        <v>278</v>
      </c>
      <c r="F3" s="1465"/>
      <c r="G3" s="1466"/>
      <c r="H3" s="488">
        <v>12</v>
      </c>
      <c r="I3" s="489" t="s">
        <v>102</v>
      </c>
      <c r="J3" s="1464" t="s">
        <v>279</v>
      </c>
      <c r="K3" s="1465"/>
      <c r="L3" s="1465"/>
      <c r="M3" s="1465"/>
      <c r="N3" s="1465"/>
      <c r="O3" s="1466"/>
      <c r="AA3" s="490"/>
    </row>
    <row r="4" spans="3:38" ht="13.5" thickBot="1">
      <c r="AA4" s="490"/>
    </row>
    <row r="5" spans="3:38" ht="15.75" customHeight="1" thickBot="1">
      <c r="C5" s="491">
        <v>1</v>
      </c>
      <c r="E5" s="492"/>
      <c r="F5" s="1467" t="s">
        <v>276</v>
      </c>
      <c r="G5" s="1468"/>
      <c r="H5" s="1468"/>
      <c r="I5" s="1469"/>
      <c r="J5" s="1470" t="s">
        <v>277</v>
      </c>
      <c r="K5" s="1427"/>
      <c r="L5" s="1427"/>
      <c r="M5" s="1428"/>
      <c r="N5" s="1414" t="s">
        <v>103</v>
      </c>
      <c r="O5" s="1415"/>
      <c r="Q5" s="493"/>
      <c r="R5" s="494"/>
      <c r="S5" s="494" t="s">
        <v>547</v>
      </c>
      <c r="T5" s="494"/>
      <c r="U5" s="494"/>
      <c r="V5" s="495"/>
      <c r="Y5" s="1461" t="s">
        <v>548</v>
      </c>
      <c r="Z5" s="1462"/>
      <c r="AA5" s="1463"/>
      <c r="AH5" s="496" t="s">
        <v>111</v>
      </c>
      <c r="AI5" s="497" t="s">
        <v>112</v>
      </c>
      <c r="AJ5" s="498" t="s">
        <v>113</v>
      </c>
      <c r="AK5" s="498" t="s">
        <v>114</v>
      </c>
      <c r="AL5" s="499" t="s">
        <v>115</v>
      </c>
    </row>
    <row r="6" spans="3:38" ht="18.75" thickBot="1">
      <c r="E6" s="500" t="s">
        <v>549</v>
      </c>
      <c r="F6" s="501" t="s">
        <v>550</v>
      </c>
      <c r="G6" s="502" t="s">
        <v>105</v>
      </c>
      <c r="H6" s="503" t="s">
        <v>551</v>
      </c>
      <c r="I6" s="504" t="s">
        <v>280</v>
      </c>
      <c r="J6" s="505" t="s">
        <v>104</v>
      </c>
      <c r="K6" s="506" t="s">
        <v>105</v>
      </c>
      <c r="L6" s="507" t="s">
        <v>106</v>
      </c>
      <c r="M6" s="508" t="s">
        <v>107</v>
      </c>
      <c r="N6" s="509" t="s">
        <v>108</v>
      </c>
      <c r="O6" s="510" t="s">
        <v>109</v>
      </c>
      <c r="Q6" s="511" t="s">
        <v>552</v>
      </c>
      <c r="R6" s="512" t="s">
        <v>553</v>
      </c>
      <c r="S6" s="512" t="s">
        <v>554</v>
      </c>
      <c r="T6" s="512" t="s">
        <v>555</v>
      </c>
      <c r="U6" s="512" t="s">
        <v>556</v>
      </c>
      <c r="V6" s="513" t="s">
        <v>557</v>
      </c>
      <c r="Y6" s="514" t="s">
        <v>558</v>
      </c>
      <c r="Z6" s="1440">
        <v>14000000</v>
      </c>
      <c r="AA6" s="1441"/>
      <c r="AH6" s="515"/>
      <c r="AI6" s="516" t="s">
        <v>124</v>
      </c>
      <c r="AJ6" s="517"/>
      <c r="AK6" s="517"/>
      <c r="AL6" s="518"/>
    </row>
    <row r="7" spans="3:38" ht="21" customHeight="1" thickBot="1">
      <c r="C7" s="1403" t="s">
        <v>559</v>
      </c>
      <c r="D7" s="1442" t="s">
        <v>560</v>
      </c>
      <c r="E7" s="519" t="s">
        <v>561</v>
      </c>
      <c r="F7" s="520"/>
      <c r="G7" s="521">
        <f>Z8*AA11</f>
        <v>0</v>
      </c>
      <c r="H7" s="522"/>
      <c r="I7" s="521">
        <f>G7*F7*(H7/12)</f>
        <v>0</v>
      </c>
      <c r="J7" s="523"/>
      <c r="K7" s="524"/>
      <c r="L7" s="523"/>
      <c r="M7" s="523">
        <f>K7*J7</f>
        <v>0</v>
      </c>
      <c r="N7" s="525">
        <f>IF(I7&gt;M7,I7-M7,0)</f>
        <v>0</v>
      </c>
      <c r="O7" s="526">
        <f>IF(I7&lt;M7,I7-M7,0)</f>
        <v>0</v>
      </c>
      <c r="Q7" s="527"/>
      <c r="R7" s="528"/>
      <c r="S7" s="528"/>
      <c r="T7" s="528"/>
      <c r="U7" s="528"/>
      <c r="V7" s="529"/>
      <c r="Y7" s="530" t="s">
        <v>562</v>
      </c>
      <c r="Z7" s="1445">
        <f>3.65</f>
        <v>3.65</v>
      </c>
      <c r="AA7" s="1446"/>
      <c r="AH7" s="531"/>
      <c r="AI7" s="532" t="s">
        <v>126</v>
      </c>
      <c r="AJ7" s="533"/>
      <c r="AK7" s="533"/>
      <c r="AL7" s="534"/>
    </row>
    <row r="8" spans="3:38" ht="21" customHeight="1" thickBot="1">
      <c r="C8" s="1404"/>
      <c r="D8" s="1443"/>
      <c r="E8" s="535" t="s">
        <v>563</v>
      </c>
      <c r="F8" s="536"/>
      <c r="G8" s="537"/>
      <c r="H8" s="538"/>
      <c r="I8" s="537">
        <f>G8*F8*(H8/12)</f>
        <v>0</v>
      </c>
      <c r="J8" s="539"/>
      <c r="K8" s="540"/>
      <c r="L8" s="539"/>
      <c r="M8" s="539">
        <f>K8*J8</f>
        <v>0</v>
      </c>
      <c r="N8" s="541" t="e">
        <f>IF(#REF!&gt;M8,#REF!-M8,0)</f>
        <v>#REF!</v>
      </c>
      <c r="O8" s="542" t="e">
        <f>IF(#REF!&lt;M8,#REF!-M8,0)</f>
        <v>#REF!</v>
      </c>
      <c r="Q8" s="543">
        <f>I8</f>
        <v>0</v>
      </c>
      <c r="R8" s="544"/>
      <c r="S8" s="544"/>
      <c r="T8" s="544"/>
      <c r="U8" s="544"/>
      <c r="V8" s="545"/>
      <c r="Y8" s="546" t="s">
        <v>564</v>
      </c>
      <c r="Z8" s="1447">
        <f>Z6/Z7</f>
        <v>3835616.4383561644</v>
      </c>
      <c r="AA8" s="1448"/>
      <c r="AH8" s="547"/>
      <c r="AI8" s="548" t="s">
        <v>121</v>
      </c>
      <c r="AJ8" s="549"/>
      <c r="AK8" s="550" t="s">
        <v>122</v>
      </c>
      <c r="AL8" s="551">
        <f>SUM(AL6:AL7)</f>
        <v>0</v>
      </c>
    </row>
    <row r="9" spans="3:38" ht="21" customHeight="1" thickBot="1">
      <c r="C9" s="1404"/>
      <c r="D9" s="1443"/>
      <c r="E9" s="535" t="s">
        <v>565</v>
      </c>
      <c r="F9" s="536"/>
      <c r="G9" s="537"/>
      <c r="H9" s="538"/>
      <c r="I9" s="537">
        <f>G9*F9*(H9/12)</f>
        <v>0</v>
      </c>
      <c r="J9" s="539"/>
      <c r="K9" s="540"/>
      <c r="L9" s="539"/>
      <c r="M9" s="539">
        <f>K9*J9</f>
        <v>0</v>
      </c>
      <c r="N9" s="541">
        <f>IF(I8&gt;M9,I8-M9,0)</f>
        <v>0</v>
      </c>
      <c r="O9" s="542">
        <f>IF(I8&lt;M9,I8-M9,0)</f>
        <v>0</v>
      </c>
      <c r="P9" s="552"/>
      <c r="Q9" s="543">
        <f>I9</f>
        <v>0</v>
      </c>
      <c r="R9" s="544"/>
      <c r="S9" s="544"/>
      <c r="T9" s="544"/>
      <c r="U9" s="544"/>
      <c r="V9" s="545"/>
      <c r="Z9" s="553"/>
      <c r="AH9" s="515"/>
      <c r="AI9" s="516" t="s">
        <v>131</v>
      </c>
      <c r="AJ9" s="517"/>
      <c r="AK9" s="517"/>
      <c r="AL9" s="518"/>
    </row>
    <row r="10" spans="3:38" ht="21" customHeight="1" thickBot="1">
      <c r="C10" s="1404"/>
      <c r="D10" s="1444"/>
      <c r="E10" s="535" t="s">
        <v>566</v>
      </c>
      <c r="F10" s="536"/>
      <c r="G10" s="537"/>
      <c r="H10" s="538"/>
      <c r="I10" s="537"/>
      <c r="J10" s="539"/>
      <c r="K10" s="540"/>
      <c r="L10" s="539"/>
      <c r="M10" s="539"/>
      <c r="N10" s="541"/>
      <c r="O10" s="542"/>
      <c r="P10" s="552"/>
      <c r="Q10" s="543"/>
      <c r="R10" s="544"/>
      <c r="S10" s="544"/>
      <c r="T10" s="544"/>
      <c r="U10" s="544"/>
      <c r="V10" s="545"/>
      <c r="Y10" s="1449" t="s">
        <v>567</v>
      </c>
      <c r="Z10" s="1450"/>
      <c r="AA10" s="1451"/>
      <c r="AH10" s="515"/>
      <c r="AI10" s="516" t="s">
        <v>133</v>
      </c>
      <c r="AJ10" s="517"/>
      <c r="AK10" s="517"/>
      <c r="AL10" s="518"/>
    </row>
    <row r="11" spans="3:38" ht="21" customHeight="1">
      <c r="C11" s="1404"/>
      <c r="D11" s="1416" t="s">
        <v>568</v>
      </c>
      <c r="E11" s="554" t="s">
        <v>569</v>
      </c>
      <c r="F11" s="536"/>
      <c r="G11" s="537">
        <f>G7</f>
        <v>0</v>
      </c>
      <c r="H11" s="538"/>
      <c r="I11" s="537">
        <f>G11*F11</f>
        <v>0</v>
      </c>
      <c r="J11" s="539"/>
      <c r="K11" s="540"/>
      <c r="L11" s="539"/>
      <c r="M11" s="539">
        <f>K11*J11</f>
        <v>0</v>
      </c>
      <c r="N11" s="541">
        <f>IF(I11&gt;M11,I11-M11,0)</f>
        <v>0</v>
      </c>
      <c r="O11" s="542">
        <f>IF(I11&lt;M11,I11-M11,0)</f>
        <v>0</v>
      </c>
      <c r="P11" s="552"/>
      <c r="Q11" s="543"/>
      <c r="R11" s="544"/>
      <c r="S11" s="544"/>
      <c r="T11" s="544"/>
      <c r="U11" s="544"/>
      <c r="V11" s="545"/>
      <c r="Y11" s="1452" t="s">
        <v>570</v>
      </c>
      <c r="Z11" s="555" t="s">
        <v>571</v>
      </c>
      <c r="AA11" s="556">
        <v>0</v>
      </c>
      <c r="AH11" s="515"/>
      <c r="AI11" s="516" t="s">
        <v>136</v>
      </c>
      <c r="AJ11" s="517"/>
      <c r="AK11" s="517"/>
      <c r="AL11" s="518"/>
    </row>
    <row r="12" spans="3:38" ht="21" customHeight="1">
      <c r="C12" s="1404"/>
      <c r="D12" s="1417"/>
      <c r="E12" s="554" t="s">
        <v>572</v>
      </c>
      <c r="F12" s="536"/>
      <c r="G12" s="557"/>
      <c r="H12" s="538"/>
      <c r="I12" s="557"/>
      <c r="J12" s="539"/>
      <c r="K12" s="540"/>
      <c r="L12" s="539"/>
      <c r="M12" s="539">
        <f>K12*J12</f>
        <v>0</v>
      </c>
      <c r="N12" s="541">
        <f>IF(I9&gt;M12,I9-M12,0)</f>
        <v>0</v>
      </c>
      <c r="O12" s="542">
        <f>IF(I9&lt;M12,I9-M12,0)</f>
        <v>0</v>
      </c>
      <c r="P12" s="552"/>
      <c r="Q12" s="543">
        <f>I12</f>
        <v>0</v>
      </c>
      <c r="R12" s="544"/>
      <c r="S12" s="544"/>
      <c r="T12" s="544"/>
      <c r="U12" s="544"/>
      <c r="V12" s="545"/>
      <c r="Y12" s="1453"/>
      <c r="Z12" s="558" t="s">
        <v>573</v>
      </c>
      <c r="AA12" s="559">
        <v>0.15</v>
      </c>
      <c r="AH12" s="515"/>
      <c r="AI12" s="516" t="s">
        <v>126</v>
      </c>
      <c r="AJ12" s="517"/>
      <c r="AK12" s="517"/>
      <c r="AL12" s="518"/>
    </row>
    <row r="13" spans="3:38" ht="21" customHeight="1" thickBot="1">
      <c r="C13" s="1404"/>
      <c r="D13" s="1417"/>
      <c r="E13" s="554" t="s">
        <v>574</v>
      </c>
      <c r="F13" s="536"/>
      <c r="G13" s="537"/>
      <c r="H13" s="538"/>
      <c r="I13" s="537"/>
      <c r="J13" s="539"/>
      <c r="K13" s="540"/>
      <c r="L13" s="539"/>
      <c r="M13" s="539">
        <f>K13*J13</f>
        <v>0</v>
      </c>
      <c r="N13" s="541">
        <f>IF(I13&gt;M13,I13-M13,0)</f>
        <v>0</v>
      </c>
      <c r="O13" s="542">
        <f>IF(I13&lt;M13,I13-M13,0)</f>
        <v>0</v>
      </c>
      <c r="P13" s="552"/>
      <c r="Q13" s="543">
        <f>I13</f>
        <v>0</v>
      </c>
      <c r="R13" s="544"/>
      <c r="S13" s="544"/>
      <c r="T13" s="544"/>
      <c r="U13" s="544"/>
      <c r="V13" s="545"/>
      <c r="Y13" s="1454"/>
      <c r="Z13" s="558" t="s">
        <v>575</v>
      </c>
      <c r="AA13" s="559">
        <v>0.1</v>
      </c>
      <c r="AH13" s="515"/>
      <c r="AI13" s="516" t="s">
        <v>140</v>
      </c>
      <c r="AJ13" s="517"/>
      <c r="AK13" s="517"/>
      <c r="AL13" s="518"/>
    </row>
    <row r="14" spans="3:38" ht="21" customHeight="1" thickBot="1">
      <c r="C14" s="1404"/>
      <c r="D14" s="1417"/>
      <c r="E14" s="554" t="s">
        <v>561</v>
      </c>
      <c r="F14" s="536"/>
      <c r="G14" s="537">
        <f>Z8*AA14</f>
        <v>0</v>
      </c>
      <c r="H14" s="538"/>
      <c r="I14" s="537">
        <f>G14*F14*H14/12</f>
        <v>0</v>
      </c>
      <c r="J14" s="539"/>
      <c r="K14" s="540"/>
      <c r="L14" s="539"/>
      <c r="M14" s="539"/>
      <c r="N14" s="541"/>
      <c r="O14" s="542"/>
      <c r="P14" s="552"/>
      <c r="Q14" s="543"/>
      <c r="R14" s="544"/>
      <c r="S14" s="544"/>
      <c r="T14" s="544"/>
      <c r="U14" s="544"/>
      <c r="V14" s="545"/>
      <c r="Y14" s="1455" t="s">
        <v>576</v>
      </c>
      <c r="Z14" s="560" t="s">
        <v>571</v>
      </c>
      <c r="AA14" s="561">
        <v>0</v>
      </c>
      <c r="AH14" s="515"/>
      <c r="AI14" s="516" t="s">
        <v>142</v>
      </c>
      <c r="AJ14" s="517"/>
      <c r="AK14" s="517"/>
      <c r="AL14" s="518"/>
    </row>
    <row r="15" spans="3:38" ht="21" customHeight="1" thickBot="1">
      <c r="C15" s="1404"/>
      <c r="D15" s="1417"/>
      <c r="E15" s="554" t="s">
        <v>563</v>
      </c>
      <c r="F15" s="536"/>
      <c r="G15" s="537">
        <f>Z8*AA15</f>
        <v>0</v>
      </c>
      <c r="H15" s="538"/>
      <c r="I15" s="537">
        <f>G15*F15*H15/12</f>
        <v>0</v>
      </c>
      <c r="J15" s="539"/>
      <c r="K15" s="540"/>
      <c r="L15" s="539"/>
      <c r="M15" s="539"/>
      <c r="N15" s="541"/>
      <c r="O15" s="542"/>
      <c r="P15" s="552"/>
      <c r="Q15" s="543"/>
      <c r="R15" s="544"/>
      <c r="S15" s="544"/>
      <c r="T15" s="544"/>
      <c r="U15" s="544"/>
      <c r="V15" s="545"/>
      <c r="Y15" s="1456"/>
      <c r="Z15" s="560" t="s">
        <v>573</v>
      </c>
      <c r="AA15" s="561">
        <v>0</v>
      </c>
      <c r="AH15" s="547"/>
      <c r="AI15" s="548" t="s">
        <v>121</v>
      </c>
      <c r="AJ15" s="549"/>
      <c r="AK15" s="550" t="s">
        <v>122</v>
      </c>
      <c r="AL15" s="551">
        <f>SUM(AL9:AL14)</f>
        <v>0</v>
      </c>
    </row>
    <row r="16" spans="3:38" ht="21" customHeight="1" thickBot="1">
      <c r="C16" s="1404"/>
      <c r="D16" s="1417"/>
      <c r="E16" s="554" t="s">
        <v>577</v>
      </c>
      <c r="F16" s="536"/>
      <c r="G16" s="537">
        <f>Z8*AA16</f>
        <v>0</v>
      </c>
      <c r="H16" s="538"/>
      <c r="I16" s="537">
        <f>G16*F16*H16/12</f>
        <v>0</v>
      </c>
      <c r="J16" s="539"/>
      <c r="K16" s="540"/>
      <c r="L16" s="539"/>
      <c r="M16" s="539"/>
      <c r="N16" s="541"/>
      <c r="O16" s="542"/>
      <c r="P16" s="552"/>
      <c r="Q16" s="543"/>
      <c r="R16" s="544"/>
      <c r="S16" s="544"/>
      <c r="T16" s="544"/>
      <c r="U16" s="544"/>
      <c r="V16" s="545"/>
      <c r="Y16" s="1457"/>
      <c r="Z16" s="562" t="s">
        <v>575</v>
      </c>
      <c r="AA16" s="563">
        <v>0</v>
      </c>
    </row>
    <row r="17" spans="3:27" ht="21" customHeight="1" thickBot="1">
      <c r="C17" s="1404"/>
      <c r="D17" s="1417"/>
      <c r="E17" s="554" t="s">
        <v>566</v>
      </c>
      <c r="F17" s="536"/>
      <c r="G17" s="537"/>
      <c r="H17" s="538"/>
      <c r="I17" s="537"/>
      <c r="J17" s="539"/>
      <c r="K17" s="540"/>
      <c r="L17" s="539"/>
      <c r="M17" s="539"/>
      <c r="N17" s="541"/>
      <c r="O17" s="542"/>
      <c r="P17" s="552"/>
      <c r="Q17" s="543"/>
      <c r="R17" s="544"/>
      <c r="S17" s="544"/>
      <c r="T17" s="544"/>
      <c r="U17" s="544"/>
      <c r="V17" s="545"/>
    </row>
    <row r="18" spans="3:27" ht="21" customHeight="1" thickBot="1">
      <c r="C18" s="1404"/>
      <c r="D18" s="1418"/>
      <c r="E18" s="554" t="s">
        <v>578</v>
      </c>
      <c r="F18" s="536"/>
      <c r="G18" s="537"/>
      <c r="H18" s="538"/>
      <c r="I18" s="537"/>
      <c r="J18" s="539"/>
      <c r="K18" s="540"/>
      <c r="L18" s="539"/>
      <c r="M18" s="539"/>
      <c r="N18" s="541"/>
      <c r="O18" s="542"/>
      <c r="P18" s="552"/>
      <c r="Q18" s="543"/>
      <c r="R18" s="544"/>
      <c r="S18" s="544"/>
      <c r="T18" s="544"/>
      <c r="U18" s="544"/>
      <c r="V18" s="545"/>
      <c r="Y18" s="1458" t="s">
        <v>579</v>
      </c>
      <c r="Z18" s="1459"/>
      <c r="AA18" s="1460"/>
    </row>
    <row r="19" spans="3:27" ht="24.75" customHeight="1">
      <c r="C19" s="1404"/>
      <c r="D19" s="1406" t="s">
        <v>116</v>
      </c>
      <c r="E19" s="564" t="s">
        <v>117</v>
      </c>
      <c r="F19" s="536"/>
      <c r="G19" s="537"/>
      <c r="H19" s="538"/>
      <c r="I19" s="537"/>
      <c r="J19" s="539"/>
      <c r="K19" s="540"/>
      <c r="L19" s="539"/>
      <c r="M19" s="539"/>
      <c r="N19" s="541"/>
      <c r="O19" s="542"/>
      <c r="P19" s="552"/>
      <c r="Q19" s="565">
        <f t="shared" ref="Q19:V19" si="0">$I$19/6</f>
        <v>0</v>
      </c>
      <c r="R19" s="566">
        <f t="shared" si="0"/>
        <v>0</v>
      </c>
      <c r="S19" s="566">
        <f t="shared" si="0"/>
        <v>0</v>
      </c>
      <c r="T19" s="566">
        <f t="shared" si="0"/>
        <v>0</v>
      </c>
      <c r="U19" s="566">
        <f t="shared" si="0"/>
        <v>0</v>
      </c>
      <c r="V19" s="567">
        <f t="shared" si="0"/>
        <v>0</v>
      </c>
      <c r="Y19" s="568" t="s">
        <v>580</v>
      </c>
      <c r="Z19" s="569" t="s">
        <v>581</v>
      </c>
      <c r="AA19" s="570">
        <v>0.5</v>
      </c>
    </row>
    <row r="20" spans="3:27" ht="23.1" customHeight="1">
      <c r="C20" s="1404"/>
      <c r="D20" s="1407"/>
      <c r="E20" s="564" t="s">
        <v>118</v>
      </c>
      <c r="F20" s="536"/>
      <c r="G20" s="537"/>
      <c r="H20" s="538"/>
      <c r="I20" s="537"/>
      <c r="J20" s="539"/>
      <c r="K20" s="540"/>
      <c r="L20" s="539"/>
      <c r="M20" s="539"/>
      <c r="N20" s="541"/>
      <c r="O20" s="542"/>
      <c r="P20" s="552"/>
      <c r="Q20" s="543"/>
      <c r="R20" s="544"/>
      <c r="S20" s="544"/>
      <c r="T20" s="544"/>
      <c r="U20" s="544"/>
      <c r="V20" s="545"/>
      <c r="Y20" s="571" t="s">
        <v>582</v>
      </c>
      <c r="Z20" s="572" t="s">
        <v>581</v>
      </c>
      <c r="AA20" s="573">
        <v>0.2</v>
      </c>
    </row>
    <row r="21" spans="3:27" ht="24.75" customHeight="1" thickBot="1">
      <c r="C21" s="1405"/>
      <c r="D21" s="1408"/>
      <c r="E21" s="574" t="s">
        <v>119</v>
      </c>
      <c r="F21" s="575"/>
      <c r="G21" s="576"/>
      <c r="H21" s="577"/>
      <c r="I21" s="576"/>
      <c r="J21" s="578"/>
      <c r="K21" s="579"/>
      <c r="L21" s="578"/>
      <c r="M21" s="578"/>
      <c r="N21" s="580"/>
      <c r="O21" s="581"/>
      <c r="P21" s="552"/>
      <c r="Q21" s="582"/>
      <c r="R21" s="583"/>
      <c r="S21" s="583"/>
      <c r="T21" s="583"/>
      <c r="U21" s="583"/>
      <c r="V21" s="584"/>
      <c r="Y21" s="585" t="s">
        <v>583</v>
      </c>
      <c r="Z21" s="586" t="s">
        <v>581</v>
      </c>
      <c r="AA21" s="587">
        <v>0.3</v>
      </c>
    </row>
    <row r="22" spans="3:27" ht="16.5" thickBot="1">
      <c r="E22" s="588" t="s">
        <v>120</v>
      </c>
      <c r="F22" s="589"/>
      <c r="G22" s="590"/>
      <c r="H22" s="591"/>
      <c r="I22" s="592">
        <f>SUM(I7:I21)</f>
        <v>0</v>
      </c>
      <c r="J22" s="593"/>
      <c r="K22" s="594"/>
      <c r="L22" s="595"/>
      <c r="M22" s="596">
        <f>SUM(M9:M13)</f>
        <v>0</v>
      </c>
      <c r="N22" s="597">
        <f>SUM(N9:N13)</f>
        <v>0</v>
      </c>
      <c r="O22" s="598">
        <f>SUM(O9:O13)</f>
        <v>0</v>
      </c>
      <c r="Q22" s="599">
        <f t="shared" ref="Q22:V22" si="1">SUM(Q7:Q21)</f>
        <v>0</v>
      </c>
      <c r="R22" s="600">
        <f t="shared" si="1"/>
        <v>0</v>
      </c>
      <c r="S22" s="600">
        <f t="shared" si="1"/>
        <v>0</v>
      </c>
      <c r="T22" s="600">
        <f t="shared" si="1"/>
        <v>0</v>
      </c>
      <c r="U22" s="600">
        <f t="shared" si="1"/>
        <v>0</v>
      </c>
      <c r="V22" s="601">
        <f t="shared" si="1"/>
        <v>0</v>
      </c>
    </row>
    <row r="23" spans="3:27" ht="13.5" thickBot="1">
      <c r="E23" s="602"/>
      <c r="F23" s="603"/>
      <c r="G23" s="604"/>
      <c r="H23" s="603"/>
      <c r="I23" s="604"/>
      <c r="J23" s="602"/>
      <c r="K23" s="602"/>
      <c r="L23" s="602"/>
      <c r="M23" s="602"/>
      <c r="N23" s="605"/>
      <c r="O23" s="606">
        <f>N22+O22</f>
        <v>0</v>
      </c>
      <c r="Q23" s="552"/>
      <c r="R23" s="552"/>
      <c r="S23" s="552"/>
      <c r="T23" s="552"/>
      <c r="U23" s="552"/>
      <c r="V23" s="552"/>
    </row>
    <row r="24" spans="3:27" ht="13.5" thickBot="1">
      <c r="D24" s="607"/>
      <c r="E24" s="602"/>
      <c r="F24" s="603"/>
      <c r="G24" s="604"/>
      <c r="H24" s="603"/>
      <c r="I24" s="604"/>
      <c r="J24" s="602"/>
      <c r="K24" s="602"/>
      <c r="L24" s="602"/>
      <c r="M24" s="602"/>
      <c r="N24" s="605"/>
      <c r="O24" s="603"/>
      <c r="Q24" s="552"/>
      <c r="R24" s="552"/>
      <c r="S24" s="552"/>
      <c r="T24" s="552"/>
      <c r="U24" s="552"/>
      <c r="V24" s="552"/>
    </row>
    <row r="25" spans="3:27" ht="13.5" thickBot="1">
      <c r="C25" s="491">
        <v>2</v>
      </c>
      <c r="E25" s="608"/>
      <c r="F25" s="1432" t="s">
        <v>276</v>
      </c>
      <c r="G25" s="1433"/>
      <c r="H25" s="1433"/>
      <c r="I25" s="1434"/>
      <c r="J25" s="1435" t="s">
        <v>277</v>
      </c>
      <c r="K25" s="1436"/>
      <c r="L25" s="1436"/>
      <c r="M25" s="1437"/>
      <c r="N25" s="1438" t="s">
        <v>103</v>
      </c>
      <c r="O25" s="1439"/>
      <c r="Q25" s="493"/>
      <c r="R25" s="494"/>
      <c r="S25" s="494" t="s">
        <v>547</v>
      </c>
      <c r="T25" s="494"/>
      <c r="U25" s="494"/>
      <c r="V25" s="495"/>
    </row>
    <row r="26" spans="3:27" ht="18.75" thickBot="1">
      <c r="E26" s="609" t="s">
        <v>584</v>
      </c>
      <c r="F26" s="610" t="s">
        <v>585</v>
      </c>
      <c r="G26" s="502" t="s">
        <v>107</v>
      </c>
      <c r="H26" s="611" t="s">
        <v>586</v>
      </c>
      <c r="I26" s="504" t="s">
        <v>280</v>
      </c>
      <c r="J26" s="505" t="s">
        <v>104</v>
      </c>
      <c r="K26" s="506" t="s">
        <v>105</v>
      </c>
      <c r="L26" s="507" t="s">
        <v>106</v>
      </c>
      <c r="M26" s="508" t="s">
        <v>107</v>
      </c>
      <c r="N26" s="612" t="s">
        <v>108</v>
      </c>
      <c r="O26" s="510" t="s">
        <v>109</v>
      </c>
      <c r="Q26" s="511" t="s">
        <v>552</v>
      </c>
      <c r="R26" s="512" t="s">
        <v>553</v>
      </c>
      <c r="S26" s="512" t="s">
        <v>554</v>
      </c>
      <c r="T26" s="512" t="s">
        <v>555</v>
      </c>
      <c r="U26" s="512" t="s">
        <v>556</v>
      </c>
      <c r="V26" s="513" t="s">
        <v>557</v>
      </c>
    </row>
    <row r="27" spans="3:27" ht="15.75">
      <c r="C27" s="1403" t="s">
        <v>587</v>
      </c>
      <c r="D27" s="1419" t="s">
        <v>588</v>
      </c>
      <c r="E27" s="516" t="s">
        <v>123</v>
      </c>
      <c r="F27" s="613"/>
      <c r="G27" s="537">
        <v>250</v>
      </c>
      <c r="H27" s="614">
        <v>1</v>
      </c>
      <c r="I27" s="537">
        <f>F27*G27*H27</f>
        <v>0</v>
      </c>
      <c r="J27" s="539"/>
      <c r="K27" s="539"/>
      <c r="L27" s="539"/>
      <c r="M27" s="539">
        <f>J27*K27*L27</f>
        <v>0</v>
      </c>
      <c r="N27" s="541">
        <f>IF(I27&gt;M27,I27-M27,0)</f>
        <v>0</v>
      </c>
      <c r="O27" s="615">
        <f>IF(I27&lt;M27,I27-M27,0)</f>
        <v>0</v>
      </c>
      <c r="Q27" s="616">
        <f>I27/2</f>
        <v>0</v>
      </c>
      <c r="R27" s="617">
        <f>I27/2</f>
        <v>0</v>
      </c>
      <c r="S27" s="617"/>
      <c r="T27" s="617"/>
      <c r="U27" s="617"/>
      <c r="V27" s="618"/>
    </row>
    <row r="28" spans="3:27" ht="15.75">
      <c r="C28" s="1404"/>
      <c r="D28" s="1420"/>
      <c r="E28" s="516" t="s">
        <v>125</v>
      </c>
      <c r="F28" s="613"/>
      <c r="G28" s="537">
        <v>2500000</v>
      </c>
      <c r="H28" s="614">
        <v>0.05</v>
      </c>
      <c r="I28" s="537">
        <f>F28*G28*H28</f>
        <v>0</v>
      </c>
      <c r="J28" s="539"/>
      <c r="K28" s="539"/>
      <c r="L28" s="539"/>
      <c r="M28" s="539">
        <f>J28*K28*L28</f>
        <v>0</v>
      </c>
      <c r="N28" s="541">
        <f>IF(I28&gt;M28,I28-M28,0)</f>
        <v>0</v>
      </c>
      <c r="O28" s="615">
        <f>IF(I28&lt;M28,I28-M28,0)</f>
        <v>0</v>
      </c>
      <c r="Q28" s="543">
        <f>I28/2</f>
        <v>0</v>
      </c>
      <c r="R28" s="544">
        <f>I28/2</f>
        <v>0</v>
      </c>
      <c r="S28" s="544"/>
      <c r="T28" s="544"/>
      <c r="U28" s="544"/>
      <c r="V28" s="545"/>
    </row>
    <row r="29" spans="3:27" ht="15.75">
      <c r="C29" s="1404"/>
      <c r="D29" s="1420"/>
      <c r="E29" s="516" t="s">
        <v>127</v>
      </c>
      <c r="F29" s="613"/>
      <c r="G29" s="537">
        <v>250</v>
      </c>
      <c r="H29" s="614">
        <v>1</v>
      </c>
      <c r="I29" s="537">
        <f>F29*G29*H29</f>
        <v>0</v>
      </c>
      <c r="J29" s="539"/>
      <c r="K29" s="539"/>
      <c r="L29" s="539"/>
      <c r="M29" s="539">
        <f>J29*K29*L29</f>
        <v>0</v>
      </c>
      <c r="N29" s="541">
        <f>IF(I29&gt;M29,I29-M29,0)</f>
        <v>0</v>
      </c>
      <c r="O29" s="615">
        <f>IF(I29&lt;M29,I29-M29,0)</f>
        <v>0</v>
      </c>
      <c r="Q29" s="543">
        <f>I29/2</f>
        <v>0</v>
      </c>
      <c r="R29" s="544">
        <f>I29/2</f>
        <v>0</v>
      </c>
      <c r="S29" s="544"/>
      <c r="T29" s="544"/>
      <c r="U29" s="544"/>
      <c r="V29" s="545"/>
    </row>
    <row r="30" spans="3:27" ht="15.75">
      <c r="C30" s="1404"/>
      <c r="D30" s="1420"/>
      <c r="E30" s="516" t="s">
        <v>128</v>
      </c>
      <c r="F30" s="613"/>
      <c r="G30" s="537">
        <v>3000</v>
      </c>
      <c r="H30" s="614">
        <v>1</v>
      </c>
      <c r="I30" s="537">
        <f>F30*G30*H30</f>
        <v>0</v>
      </c>
      <c r="J30" s="539"/>
      <c r="K30" s="539"/>
      <c r="L30" s="539"/>
      <c r="M30" s="539">
        <f>J30*K30*L30</f>
        <v>0</v>
      </c>
      <c r="N30" s="541">
        <f>IF(I30&gt;M30,I30-M30,0)</f>
        <v>0</v>
      </c>
      <c r="O30" s="615">
        <f>IF(I30&lt;M30,I30-M30,0)</f>
        <v>0</v>
      </c>
      <c r="Q30" s="543">
        <f>I30/2</f>
        <v>0</v>
      </c>
      <c r="R30" s="544">
        <f>I30/2</f>
        <v>0</v>
      </c>
      <c r="S30" s="544"/>
      <c r="T30" s="544"/>
      <c r="U30" s="544"/>
      <c r="V30" s="545"/>
    </row>
    <row r="31" spans="3:27" ht="16.5" thickBot="1">
      <c r="C31" s="1405"/>
      <c r="D31" s="1421"/>
      <c r="E31" s="619" t="s">
        <v>129</v>
      </c>
      <c r="F31" s="613"/>
      <c r="G31" s="620">
        <v>200</v>
      </c>
      <c r="H31" s="614">
        <v>1</v>
      </c>
      <c r="I31" s="620">
        <f>F31*G31*H31</f>
        <v>0</v>
      </c>
      <c r="J31" s="621"/>
      <c r="K31" s="621"/>
      <c r="L31" s="621"/>
      <c r="M31" s="621">
        <f>J31*K31*L31</f>
        <v>0</v>
      </c>
      <c r="N31" s="622">
        <f>IF(I31&gt;M31,I31-M31,0)</f>
        <v>0</v>
      </c>
      <c r="O31" s="623">
        <f>IF(I31&lt;M31,I31-M31,0)</f>
        <v>0</v>
      </c>
      <c r="Q31" s="582">
        <f>I31/2</f>
        <v>0</v>
      </c>
      <c r="R31" s="583">
        <f>I31/2</f>
        <v>0</v>
      </c>
      <c r="S31" s="583"/>
      <c r="T31" s="583"/>
      <c r="U31" s="583"/>
      <c r="V31" s="584"/>
    </row>
    <row r="32" spans="3:27" ht="16.5" thickBot="1">
      <c r="C32" s="624"/>
      <c r="D32" s="625"/>
      <c r="E32" s="626" t="s">
        <v>120</v>
      </c>
      <c r="F32" s="627"/>
      <c r="G32" s="628"/>
      <c r="H32" s="627"/>
      <c r="I32" s="629">
        <f>SUM(I27:I31)</f>
        <v>0</v>
      </c>
      <c r="J32" s="630"/>
      <c r="K32" s="630"/>
      <c r="L32" s="630"/>
      <c r="M32" s="630"/>
      <c r="N32" s="631"/>
      <c r="O32" s="632"/>
      <c r="Q32" s="599">
        <f t="shared" ref="Q32:V32" si="2">SUM(Q27:Q31)</f>
        <v>0</v>
      </c>
      <c r="R32" s="600">
        <f t="shared" si="2"/>
        <v>0</v>
      </c>
      <c r="S32" s="600">
        <f t="shared" si="2"/>
        <v>0</v>
      </c>
      <c r="T32" s="600">
        <f t="shared" si="2"/>
        <v>0</v>
      </c>
      <c r="U32" s="600">
        <f t="shared" si="2"/>
        <v>0</v>
      </c>
      <c r="V32" s="600">
        <f t="shared" si="2"/>
        <v>0</v>
      </c>
    </row>
    <row r="33" spans="3:33" ht="15.75">
      <c r="C33" s="624"/>
      <c r="D33" s="625"/>
      <c r="E33" s="633"/>
      <c r="F33" s="634"/>
      <c r="G33" s="635"/>
      <c r="H33" s="634"/>
      <c r="I33" s="635"/>
      <c r="J33" s="636"/>
      <c r="K33" s="636"/>
      <c r="L33" s="636"/>
      <c r="M33" s="636"/>
      <c r="N33" s="637"/>
      <c r="O33" s="634"/>
      <c r="Q33" s="552"/>
      <c r="R33" s="552"/>
      <c r="S33" s="552"/>
      <c r="T33" s="552"/>
      <c r="U33" s="552"/>
      <c r="V33" s="552"/>
    </row>
    <row r="34" spans="3:33" ht="13.5" thickBot="1">
      <c r="E34" s="602"/>
      <c r="F34" s="603"/>
      <c r="G34" s="604"/>
      <c r="H34" s="603"/>
      <c r="I34" s="604"/>
      <c r="J34" s="602"/>
      <c r="K34" s="602"/>
      <c r="L34" s="602"/>
      <c r="M34" s="602"/>
      <c r="N34" s="605"/>
      <c r="O34" s="603"/>
      <c r="Q34" s="552"/>
      <c r="R34" s="552"/>
      <c r="S34" s="552"/>
      <c r="T34" s="552"/>
      <c r="U34" s="552"/>
      <c r="V34" s="552"/>
    </row>
    <row r="35" spans="3:33" ht="13.5" thickBot="1">
      <c r="C35" s="491">
        <v>3</v>
      </c>
      <c r="E35" s="608"/>
      <c r="F35" s="1409" t="s">
        <v>276</v>
      </c>
      <c r="G35" s="1410"/>
      <c r="H35" s="1410"/>
      <c r="I35" s="1411"/>
      <c r="J35" s="1427" t="s">
        <v>277</v>
      </c>
      <c r="K35" s="1427"/>
      <c r="L35" s="1427"/>
      <c r="M35" s="1428"/>
      <c r="N35" s="1426" t="s">
        <v>103</v>
      </c>
      <c r="O35" s="1415"/>
      <c r="Q35" s="493"/>
      <c r="R35" s="494"/>
      <c r="S35" s="494" t="s">
        <v>547</v>
      </c>
      <c r="T35" s="494"/>
      <c r="U35" s="494"/>
      <c r="V35" s="495"/>
    </row>
    <row r="36" spans="3:33" ht="18.75" thickBot="1">
      <c r="E36" s="609" t="s">
        <v>589</v>
      </c>
      <c r="F36" s="638" t="s">
        <v>104</v>
      </c>
      <c r="G36" s="502" t="s">
        <v>107</v>
      </c>
      <c r="H36" s="611" t="s">
        <v>551</v>
      </c>
      <c r="I36" s="504" t="s">
        <v>280</v>
      </c>
      <c r="J36" s="639" t="s">
        <v>104</v>
      </c>
      <c r="K36" s="506" t="s">
        <v>105</v>
      </c>
      <c r="L36" s="507" t="s">
        <v>106</v>
      </c>
      <c r="M36" s="508" t="s">
        <v>107</v>
      </c>
      <c r="N36" s="612" t="s">
        <v>108</v>
      </c>
      <c r="O36" s="510" t="s">
        <v>109</v>
      </c>
      <c r="Q36" s="511" t="s">
        <v>552</v>
      </c>
      <c r="R36" s="512" t="s">
        <v>553</v>
      </c>
      <c r="S36" s="512" t="s">
        <v>554</v>
      </c>
      <c r="T36" s="512" t="s">
        <v>555</v>
      </c>
      <c r="U36" s="512" t="s">
        <v>556</v>
      </c>
      <c r="V36" s="513" t="s">
        <v>557</v>
      </c>
    </row>
    <row r="37" spans="3:33" ht="15.75" customHeight="1">
      <c r="C37" s="1403" t="s">
        <v>559</v>
      </c>
      <c r="D37" s="1429" t="s">
        <v>590</v>
      </c>
      <c r="E37" s="640" t="s">
        <v>138</v>
      </c>
      <c r="F37" s="613"/>
      <c r="G37" s="537">
        <f>[18]MANPOWER!H6</f>
        <v>11058.148148148148</v>
      </c>
      <c r="H37" s="538">
        <f>IF(F37=0,0,$H$3)</f>
        <v>0</v>
      </c>
      <c r="I37" s="537">
        <f t="shared" ref="I37:I66" si="3">F37*G37*H37</f>
        <v>0</v>
      </c>
      <c r="J37" s="641"/>
      <c r="K37" s="615"/>
      <c r="L37" s="615">
        <f t="shared" ref="L37:L51" si="4">$H$3</f>
        <v>12</v>
      </c>
      <c r="M37" s="542">
        <f t="shared" ref="M37:M51" si="5">J37*K37*L37</f>
        <v>0</v>
      </c>
      <c r="N37" s="642">
        <f t="shared" ref="N37:N51" si="6">IF(I37&gt;M37,I37-M37,0)</f>
        <v>0</v>
      </c>
      <c r="O37" s="542">
        <f t="shared" ref="O37:O51" si="7">IF(I37&lt;M37,I37-M37,0)</f>
        <v>0</v>
      </c>
      <c r="Q37" s="643">
        <f t="shared" ref="Q37:Q66" si="8">G37</f>
        <v>11058.148148148148</v>
      </c>
      <c r="R37" s="644">
        <f t="shared" ref="R37:R66" si="9">G37</f>
        <v>11058.148148148148</v>
      </c>
      <c r="S37" s="644">
        <f t="shared" ref="S37:S66" si="10">G37</f>
        <v>11058.148148148148</v>
      </c>
      <c r="T37" s="644">
        <f t="shared" ref="T37:T66" si="11">G37</f>
        <v>11058.148148148148</v>
      </c>
      <c r="U37" s="644">
        <f t="shared" ref="U37:U66" si="12">G37</f>
        <v>11058.148148148148</v>
      </c>
      <c r="V37" s="645">
        <f t="shared" ref="V37:V66" si="13">G37</f>
        <v>11058.148148148148</v>
      </c>
    </row>
    <row r="38" spans="3:33">
      <c r="C38" s="1404"/>
      <c r="D38" s="1430"/>
      <c r="E38" s="646" t="s">
        <v>139</v>
      </c>
      <c r="F38" s="613">
        <f>[18]MANPOWER!Y6</f>
        <v>1</v>
      </c>
      <c r="G38" s="537">
        <f>MANPOWER!S7</f>
        <v>4654.4444444444443</v>
      </c>
      <c r="H38" s="538">
        <v>10</v>
      </c>
      <c r="I38" s="537">
        <f t="shared" si="3"/>
        <v>46544.444444444445</v>
      </c>
      <c r="J38" s="641"/>
      <c r="K38" s="615"/>
      <c r="L38" s="615">
        <f t="shared" si="4"/>
        <v>12</v>
      </c>
      <c r="M38" s="542">
        <f t="shared" si="5"/>
        <v>0</v>
      </c>
      <c r="N38" s="642">
        <f t="shared" si="6"/>
        <v>46544.444444444445</v>
      </c>
      <c r="O38" s="542">
        <f t="shared" si="7"/>
        <v>0</v>
      </c>
      <c r="Q38" s="647">
        <f t="shared" si="8"/>
        <v>4654.4444444444443</v>
      </c>
      <c r="R38" s="648">
        <f t="shared" si="9"/>
        <v>4654.4444444444443</v>
      </c>
      <c r="S38" s="648">
        <f t="shared" si="10"/>
        <v>4654.4444444444443</v>
      </c>
      <c r="T38" s="648">
        <f t="shared" si="11"/>
        <v>4654.4444444444443</v>
      </c>
      <c r="U38" s="648">
        <f t="shared" si="12"/>
        <v>4654.4444444444443</v>
      </c>
      <c r="V38" s="649">
        <f t="shared" si="13"/>
        <v>4654.4444444444443</v>
      </c>
    </row>
    <row r="39" spans="3:33">
      <c r="C39" s="1404"/>
      <c r="D39" s="1430"/>
      <c r="E39" s="646" t="s">
        <v>141</v>
      </c>
      <c r="F39" s="613" t="e">
        <f>[18]MANPOWER!Y7</f>
        <v>#REF!</v>
      </c>
      <c r="G39" s="537"/>
      <c r="H39" s="538" t="e">
        <f t="shared" ref="H39:H108" si="14">IF(F39=0,0,$H$3)</f>
        <v>#REF!</v>
      </c>
      <c r="I39" s="537" t="e">
        <f t="shared" si="3"/>
        <v>#REF!</v>
      </c>
      <c r="J39" s="641"/>
      <c r="K39" s="615"/>
      <c r="L39" s="615">
        <f t="shared" si="4"/>
        <v>12</v>
      </c>
      <c r="M39" s="542">
        <f t="shared" si="5"/>
        <v>0</v>
      </c>
      <c r="N39" s="642" t="e">
        <f t="shared" si="6"/>
        <v>#REF!</v>
      </c>
      <c r="O39" s="542" t="e">
        <f t="shared" si="7"/>
        <v>#REF!</v>
      </c>
      <c r="Q39" s="647">
        <f t="shared" si="8"/>
        <v>0</v>
      </c>
      <c r="R39" s="648">
        <f t="shared" si="9"/>
        <v>0</v>
      </c>
      <c r="S39" s="648">
        <f t="shared" si="10"/>
        <v>0</v>
      </c>
      <c r="T39" s="648">
        <f t="shared" si="11"/>
        <v>0</v>
      </c>
      <c r="U39" s="648">
        <f t="shared" si="12"/>
        <v>0</v>
      </c>
      <c r="V39" s="649">
        <f t="shared" si="13"/>
        <v>0</v>
      </c>
    </row>
    <row r="40" spans="3:33" ht="13.5" customHeight="1">
      <c r="C40" s="1404"/>
      <c r="D40" s="1430"/>
      <c r="E40" s="646" t="s">
        <v>513</v>
      </c>
      <c r="F40" s="613"/>
      <c r="G40" s="537">
        <f>[18]MANPOWER!H9</f>
        <v>5530.3703703703704</v>
      </c>
      <c r="H40" s="538">
        <f t="shared" si="14"/>
        <v>0</v>
      </c>
      <c r="I40" s="537">
        <f t="shared" si="3"/>
        <v>0</v>
      </c>
      <c r="J40" s="641"/>
      <c r="K40" s="615"/>
      <c r="L40" s="615">
        <f t="shared" si="4"/>
        <v>12</v>
      </c>
      <c r="M40" s="542">
        <f t="shared" si="5"/>
        <v>0</v>
      </c>
      <c r="N40" s="642">
        <f t="shared" si="6"/>
        <v>0</v>
      </c>
      <c r="O40" s="542">
        <f t="shared" si="7"/>
        <v>0</v>
      </c>
      <c r="Q40" s="647">
        <f t="shared" si="8"/>
        <v>5530.3703703703704</v>
      </c>
      <c r="R40" s="648">
        <f t="shared" si="9"/>
        <v>5530.3703703703704</v>
      </c>
      <c r="S40" s="648">
        <f t="shared" si="10"/>
        <v>5530.3703703703704</v>
      </c>
      <c r="T40" s="648">
        <f t="shared" si="11"/>
        <v>5530.3703703703704</v>
      </c>
      <c r="U40" s="648">
        <f t="shared" si="12"/>
        <v>5530.3703703703704</v>
      </c>
      <c r="V40" s="649">
        <f t="shared" si="13"/>
        <v>5530.3703703703704</v>
      </c>
    </row>
    <row r="41" spans="3:33">
      <c r="C41" s="1404"/>
      <c r="D41" s="1430"/>
      <c r="E41" s="646" t="s">
        <v>143</v>
      </c>
      <c r="F41" s="613"/>
      <c r="G41" s="537">
        <f>[18]MANPOWER!H10</f>
        <v>5030.3703703703704</v>
      </c>
      <c r="H41" s="538">
        <f t="shared" si="14"/>
        <v>0</v>
      </c>
      <c r="I41" s="537">
        <f t="shared" si="3"/>
        <v>0</v>
      </c>
      <c r="J41" s="641"/>
      <c r="K41" s="615"/>
      <c r="L41" s="615">
        <f t="shared" si="4"/>
        <v>12</v>
      </c>
      <c r="M41" s="542">
        <f t="shared" si="5"/>
        <v>0</v>
      </c>
      <c r="N41" s="642">
        <f t="shared" si="6"/>
        <v>0</v>
      </c>
      <c r="O41" s="542">
        <f t="shared" si="7"/>
        <v>0</v>
      </c>
      <c r="Q41" s="647">
        <f t="shared" si="8"/>
        <v>5030.3703703703704</v>
      </c>
      <c r="R41" s="648">
        <f t="shared" si="9"/>
        <v>5030.3703703703704</v>
      </c>
      <c r="S41" s="648">
        <f t="shared" si="10"/>
        <v>5030.3703703703704</v>
      </c>
      <c r="T41" s="648">
        <f t="shared" si="11"/>
        <v>5030.3703703703704</v>
      </c>
      <c r="U41" s="648">
        <f t="shared" si="12"/>
        <v>5030.3703703703704</v>
      </c>
      <c r="V41" s="649">
        <f t="shared" si="13"/>
        <v>5030.3703703703704</v>
      </c>
      <c r="AF41" s="650"/>
      <c r="AG41" s="650"/>
    </row>
    <row r="42" spans="3:33">
      <c r="C42" s="1404"/>
      <c r="D42" s="1430"/>
      <c r="E42" s="646" t="s">
        <v>517</v>
      </c>
      <c r="F42" s="613"/>
      <c r="G42" s="537">
        <f>[18]MANPOWER!H11</f>
        <v>5530.3703703703704</v>
      </c>
      <c r="H42" s="538">
        <f>IF(F42=0,0,$H$3)</f>
        <v>0</v>
      </c>
      <c r="I42" s="537">
        <f>F42*G42*H42</f>
        <v>0</v>
      </c>
      <c r="J42" s="641"/>
      <c r="K42" s="615"/>
      <c r="L42" s="615">
        <f t="shared" si="4"/>
        <v>12</v>
      </c>
      <c r="M42" s="542">
        <f t="shared" si="5"/>
        <v>0</v>
      </c>
      <c r="N42" s="642">
        <f t="shared" si="6"/>
        <v>0</v>
      </c>
      <c r="O42" s="542">
        <f t="shared" si="7"/>
        <v>0</v>
      </c>
      <c r="Q42" s="647">
        <f t="shared" si="8"/>
        <v>5530.3703703703704</v>
      </c>
      <c r="R42" s="648">
        <f t="shared" si="9"/>
        <v>5530.3703703703704</v>
      </c>
      <c r="S42" s="648">
        <f t="shared" si="10"/>
        <v>5530.3703703703704</v>
      </c>
      <c r="T42" s="648">
        <f t="shared" si="11"/>
        <v>5530.3703703703704</v>
      </c>
      <c r="U42" s="648">
        <f t="shared" si="12"/>
        <v>5530.3703703703704</v>
      </c>
      <c r="V42" s="649">
        <f t="shared" si="13"/>
        <v>5530.3703703703704</v>
      </c>
      <c r="AF42" s="650"/>
      <c r="AG42" s="650"/>
    </row>
    <row r="43" spans="3:33">
      <c r="C43" s="1404"/>
      <c r="D43" s="1430"/>
      <c r="E43" s="646" t="s">
        <v>144</v>
      </c>
      <c r="F43" s="613" t="e">
        <f>[18]MANPOWER!Y11</f>
        <v>#REF!</v>
      </c>
      <c r="G43" s="537"/>
      <c r="H43" s="538" t="e">
        <f t="shared" si="14"/>
        <v>#REF!</v>
      </c>
      <c r="I43" s="537" t="e">
        <f t="shared" si="3"/>
        <v>#REF!</v>
      </c>
      <c r="J43" s="641"/>
      <c r="K43" s="615"/>
      <c r="L43" s="615">
        <f t="shared" si="4"/>
        <v>12</v>
      </c>
      <c r="M43" s="542">
        <f t="shared" si="5"/>
        <v>0</v>
      </c>
      <c r="N43" s="642" t="e">
        <f t="shared" si="6"/>
        <v>#REF!</v>
      </c>
      <c r="O43" s="542" t="e">
        <f t="shared" si="7"/>
        <v>#REF!</v>
      </c>
      <c r="Q43" s="647">
        <f t="shared" si="8"/>
        <v>0</v>
      </c>
      <c r="R43" s="648">
        <f t="shared" si="9"/>
        <v>0</v>
      </c>
      <c r="S43" s="648">
        <f t="shared" si="10"/>
        <v>0</v>
      </c>
      <c r="T43" s="648">
        <f t="shared" si="11"/>
        <v>0</v>
      </c>
      <c r="U43" s="648">
        <f t="shared" si="12"/>
        <v>0</v>
      </c>
      <c r="V43" s="649">
        <f t="shared" si="13"/>
        <v>0</v>
      </c>
      <c r="AF43" s="650"/>
      <c r="AG43" s="650"/>
    </row>
    <row r="44" spans="3:33">
      <c r="C44" s="1404"/>
      <c r="D44" s="1430"/>
      <c r="E44" s="646" t="s">
        <v>145</v>
      </c>
      <c r="F44" s="613" t="e">
        <f>[18]MANPOWER!Y12</f>
        <v>#REF!</v>
      </c>
      <c r="G44" s="537"/>
      <c r="H44" s="538" t="e">
        <f t="shared" si="14"/>
        <v>#REF!</v>
      </c>
      <c r="I44" s="537" t="e">
        <f t="shared" si="3"/>
        <v>#REF!</v>
      </c>
      <c r="J44" s="641"/>
      <c r="K44" s="615"/>
      <c r="L44" s="615">
        <f t="shared" si="4"/>
        <v>12</v>
      </c>
      <c r="M44" s="542">
        <f t="shared" si="5"/>
        <v>0</v>
      </c>
      <c r="N44" s="642" t="e">
        <f t="shared" si="6"/>
        <v>#REF!</v>
      </c>
      <c r="O44" s="542" t="e">
        <f t="shared" si="7"/>
        <v>#REF!</v>
      </c>
      <c r="Q44" s="647">
        <f t="shared" si="8"/>
        <v>0</v>
      </c>
      <c r="R44" s="648">
        <f t="shared" si="9"/>
        <v>0</v>
      </c>
      <c r="S44" s="648">
        <f t="shared" si="10"/>
        <v>0</v>
      </c>
      <c r="T44" s="648">
        <f t="shared" si="11"/>
        <v>0</v>
      </c>
      <c r="U44" s="648">
        <f t="shared" si="12"/>
        <v>0</v>
      </c>
      <c r="V44" s="649">
        <f t="shared" si="13"/>
        <v>0</v>
      </c>
      <c r="AF44" s="650"/>
      <c r="AG44" s="650"/>
    </row>
    <row r="45" spans="3:33">
      <c r="C45" s="1404"/>
      <c r="D45" s="1430"/>
      <c r="E45" s="646" t="s">
        <v>146</v>
      </c>
      <c r="F45" s="613"/>
      <c r="G45" s="537">
        <f>MANPOWER!H14</f>
        <v>5030.3703703703704</v>
      </c>
      <c r="H45" s="538">
        <f t="shared" si="14"/>
        <v>0</v>
      </c>
      <c r="I45" s="537">
        <f t="shared" si="3"/>
        <v>0</v>
      </c>
      <c r="J45" s="641"/>
      <c r="K45" s="615"/>
      <c r="L45" s="615">
        <f t="shared" si="4"/>
        <v>12</v>
      </c>
      <c r="M45" s="542">
        <f t="shared" si="5"/>
        <v>0</v>
      </c>
      <c r="N45" s="642">
        <f t="shared" si="6"/>
        <v>0</v>
      </c>
      <c r="O45" s="542">
        <f t="shared" si="7"/>
        <v>0</v>
      </c>
      <c r="Q45" s="647">
        <f t="shared" si="8"/>
        <v>5030.3703703703704</v>
      </c>
      <c r="R45" s="648">
        <f t="shared" si="9"/>
        <v>5030.3703703703704</v>
      </c>
      <c r="S45" s="648">
        <f t="shared" si="10"/>
        <v>5030.3703703703704</v>
      </c>
      <c r="T45" s="648">
        <f t="shared" si="11"/>
        <v>5030.3703703703704</v>
      </c>
      <c r="U45" s="648">
        <f t="shared" si="12"/>
        <v>5030.3703703703704</v>
      </c>
      <c r="V45" s="649">
        <f t="shared" si="13"/>
        <v>5030.3703703703704</v>
      </c>
      <c r="AF45" s="650"/>
      <c r="AG45" s="650"/>
    </row>
    <row r="46" spans="3:33">
      <c r="C46" s="1404"/>
      <c r="D46" s="1430"/>
      <c r="E46" s="646" t="s">
        <v>147</v>
      </c>
      <c r="F46" s="613"/>
      <c r="G46" s="537">
        <f>MANPOWER!H15</f>
        <v>5530.3703703703704</v>
      </c>
      <c r="H46" s="538">
        <f t="shared" si="14"/>
        <v>0</v>
      </c>
      <c r="I46" s="537">
        <f t="shared" si="3"/>
        <v>0</v>
      </c>
      <c r="J46" s="641"/>
      <c r="K46" s="615"/>
      <c r="L46" s="615">
        <f t="shared" si="4"/>
        <v>12</v>
      </c>
      <c r="M46" s="542">
        <f t="shared" si="5"/>
        <v>0</v>
      </c>
      <c r="N46" s="642">
        <f t="shared" si="6"/>
        <v>0</v>
      </c>
      <c r="O46" s="542">
        <f t="shared" si="7"/>
        <v>0</v>
      </c>
      <c r="Q46" s="647">
        <f t="shared" si="8"/>
        <v>5530.3703703703704</v>
      </c>
      <c r="R46" s="648">
        <f t="shared" si="9"/>
        <v>5530.3703703703704</v>
      </c>
      <c r="S46" s="648">
        <f t="shared" si="10"/>
        <v>5530.3703703703704</v>
      </c>
      <c r="T46" s="648">
        <f t="shared" si="11"/>
        <v>5530.3703703703704</v>
      </c>
      <c r="U46" s="648">
        <f t="shared" si="12"/>
        <v>5530.3703703703704</v>
      </c>
      <c r="V46" s="649">
        <f t="shared" si="13"/>
        <v>5530.3703703703704</v>
      </c>
      <c r="AF46" s="650"/>
      <c r="AG46" s="650"/>
    </row>
    <row r="47" spans="3:33">
      <c r="C47" s="1404"/>
      <c r="D47" s="1430"/>
      <c r="E47" s="646" t="s">
        <v>148</v>
      </c>
      <c r="F47" s="613"/>
      <c r="G47" s="537">
        <f>[18]MANPOWER!H16</f>
        <v>5030.3703703703704</v>
      </c>
      <c r="H47" s="538">
        <f>IF(F47=0,0,$H$3)</f>
        <v>0</v>
      </c>
      <c r="I47" s="537">
        <f t="shared" si="3"/>
        <v>0</v>
      </c>
      <c r="J47" s="641"/>
      <c r="K47" s="615"/>
      <c r="L47" s="615">
        <f t="shared" si="4"/>
        <v>12</v>
      </c>
      <c r="M47" s="542">
        <f t="shared" si="5"/>
        <v>0</v>
      </c>
      <c r="N47" s="642">
        <f t="shared" si="6"/>
        <v>0</v>
      </c>
      <c r="O47" s="542">
        <f t="shared" si="7"/>
        <v>0</v>
      </c>
      <c r="Q47" s="647">
        <f t="shared" si="8"/>
        <v>5030.3703703703704</v>
      </c>
      <c r="R47" s="648">
        <f t="shared" si="9"/>
        <v>5030.3703703703704</v>
      </c>
      <c r="S47" s="648">
        <f t="shared" si="10"/>
        <v>5030.3703703703704</v>
      </c>
      <c r="T47" s="648">
        <f t="shared" si="11"/>
        <v>5030.3703703703704</v>
      </c>
      <c r="U47" s="648">
        <f t="shared" si="12"/>
        <v>5030.3703703703704</v>
      </c>
      <c r="V47" s="649">
        <f t="shared" si="13"/>
        <v>5030.3703703703704</v>
      </c>
      <c r="AF47" s="650"/>
      <c r="AG47" s="650"/>
    </row>
    <row r="48" spans="3:33">
      <c r="C48" s="1404"/>
      <c r="D48" s="1430"/>
      <c r="E48" s="646" t="s">
        <v>149</v>
      </c>
      <c r="F48" s="613" t="e">
        <f>[18]MANPOWER!Y16</f>
        <v>#REF!</v>
      </c>
      <c r="G48" s="537">
        <f>[18]MANPOWER!H17</f>
        <v>0</v>
      </c>
      <c r="H48" s="538" t="e">
        <f t="shared" si="14"/>
        <v>#REF!</v>
      </c>
      <c r="I48" s="537" t="e">
        <f t="shared" si="3"/>
        <v>#REF!</v>
      </c>
      <c r="J48" s="641"/>
      <c r="K48" s="615"/>
      <c r="L48" s="615">
        <f t="shared" si="4"/>
        <v>12</v>
      </c>
      <c r="M48" s="542">
        <f t="shared" si="5"/>
        <v>0</v>
      </c>
      <c r="N48" s="642" t="e">
        <f t="shared" si="6"/>
        <v>#REF!</v>
      </c>
      <c r="O48" s="542" t="e">
        <f t="shared" si="7"/>
        <v>#REF!</v>
      </c>
      <c r="Q48" s="647">
        <f t="shared" si="8"/>
        <v>0</v>
      </c>
      <c r="R48" s="648">
        <f t="shared" si="9"/>
        <v>0</v>
      </c>
      <c r="S48" s="648">
        <f t="shared" si="10"/>
        <v>0</v>
      </c>
      <c r="T48" s="648">
        <f t="shared" si="11"/>
        <v>0</v>
      </c>
      <c r="U48" s="648">
        <f t="shared" si="12"/>
        <v>0</v>
      </c>
      <c r="V48" s="649">
        <f t="shared" si="13"/>
        <v>0</v>
      </c>
      <c r="AF48" s="650"/>
      <c r="AG48" s="650"/>
    </row>
    <row r="49" spans="3:33">
      <c r="C49" s="1404"/>
      <c r="D49" s="1430"/>
      <c r="E49" s="646" t="s">
        <v>519</v>
      </c>
      <c r="F49" s="613" t="e">
        <f>[18]MANPOWER!Y17</f>
        <v>#REF!</v>
      </c>
      <c r="G49" s="537">
        <f>[18]MANPOWER!H18</f>
        <v>0</v>
      </c>
      <c r="H49" s="538" t="e">
        <f t="shared" si="14"/>
        <v>#REF!</v>
      </c>
      <c r="I49" s="537" t="e">
        <f t="shared" si="3"/>
        <v>#REF!</v>
      </c>
      <c r="J49" s="641"/>
      <c r="K49" s="615"/>
      <c r="L49" s="615">
        <f t="shared" si="4"/>
        <v>12</v>
      </c>
      <c r="M49" s="542">
        <f t="shared" si="5"/>
        <v>0</v>
      </c>
      <c r="N49" s="642" t="e">
        <f t="shared" si="6"/>
        <v>#REF!</v>
      </c>
      <c r="O49" s="542" t="e">
        <f t="shared" si="7"/>
        <v>#REF!</v>
      </c>
      <c r="Q49" s="647">
        <f t="shared" si="8"/>
        <v>0</v>
      </c>
      <c r="R49" s="648">
        <f t="shared" si="9"/>
        <v>0</v>
      </c>
      <c r="S49" s="648">
        <f t="shared" si="10"/>
        <v>0</v>
      </c>
      <c r="T49" s="648">
        <f t="shared" si="11"/>
        <v>0</v>
      </c>
      <c r="U49" s="648">
        <f t="shared" si="12"/>
        <v>0</v>
      </c>
      <c r="V49" s="649">
        <f t="shared" si="13"/>
        <v>0</v>
      </c>
      <c r="AF49" s="651"/>
      <c r="AG49" s="651"/>
    </row>
    <row r="50" spans="3:33">
      <c r="C50" s="1404"/>
      <c r="D50" s="1430"/>
      <c r="E50" s="646" t="s">
        <v>521</v>
      </c>
      <c r="F50" s="613" t="e">
        <f>[18]MANPOWER!Y18</f>
        <v>#REF!</v>
      </c>
      <c r="G50" s="537"/>
      <c r="H50" s="538" t="e">
        <f t="shared" si="14"/>
        <v>#REF!</v>
      </c>
      <c r="I50" s="537" t="e">
        <f t="shared" si="3"/>
        <v>#REF!</v>
      </c>
      <c r="J50" s="641"/>
      <c r="K50" s="615"/>
      <c r="L50" s="615">
        <f t="shared" si="4"/>
        <v>12</v>
      </c>
      <c r="M50" s="542">
        <f t="shared" si="5"/>
        <v>0</v>
      </c>
      <c r="N50" s="642" t="e">
        <f t="shared" si="6"/>
        <v>#REF!</v>
      </c>
      <c r="O50" s="542" t="e">
        <f t="shared" si="7"/>
        <v>#REF!</v>
      </c>
      <c r="Q50" s="647">
        <f t="shared" si="8"/>
        <v>0</v>
      </c>
      <c r="R50" s="648">
        <f t="shared" si="9"/>
        <v>0</v>
      </c>
      <c r="S50" s="648">
        <f t="shared" si="10"/>
        <v>0</v>
      </c>
      <c r="T50" s="648">
        <f t="shared" si="11"/>
        <v>0</v>
      </c>
      <c r="U50" s="648">
        <f t="shared" si="12"/>
        <v>0</v>
      </c>
      <c r="V50" s="649">
        <f t="shared" si="13"/>
        <v>0</v>
      </c>
      <c r="AF50" s="652"/>
      <c r="AG50" s="652"/>
    </row>
    <row r="51" spans="3:33" ht="13.5" thickBot="1">
      <c r="C51" s="1404"/>
      <c r="D51" s="1430"/>
      <c r="E51" s="653" t="s">
        <v>150</v>
      </c>
      <c r="F51" s="654" t="e">
        <f>[18]MANPOWER!Y19</f>
        <v>#REF!</v>
      </c>
      <c r="G51" s="537" t="e">
        <f>[18]MANPOWER!H20</f>
        <v>#REF!</v>
      </c>
      <c r="H51" s="538" t="e">
        <f t="shared" si="14"/>
        <v>#REF!</v>
      </c>
      <c r="I51" s="620" t="e">
        <f t="shared" si="3"/>
        <v>#REF!</v>
      </c>
      <c r="J51" s="641"/>
      <c r="K51" s="615"/>
      <c r="L51" s="615">
        <f t="shared" si="4"/>
        <v>12</v>
      </c>
      <c r="M51" s="542">
        <f t="shared" si="5"/>
        <v>0</v>
      </c>
      <c r="N51" s="642" t="e">
        <f t="shared" si="6"/>
        <v>#REF!</v>
      </c>
      <c r="O51" s="542" t="e">
        <f t="shared" si="7"/>
        <v>#REF!</v>
      </c>
      <c r="Q51" s="655" t="e">
        <f t="shared" si="8"/>
        <v>#REF!</v>
      </c>
      <c r="R51" s="656" t="e">
        <f t="shared" si="9"/>
        <v>#REF!</v>
      </c>
      <c r="S51" s="656" t="e">
        <f t="shared" si="10"/>
        <v>#REF!</v>
      </c>
      <c r="T51" s="656" t="e">
        <f t="shared" si="11"/>
        <v>#REF!</v>
      </c>
      <c r="U51" s="656" t="e">
        <f t="shared" si="12"/>
        <v>#REF!</v>
      </c>
      <c r="V51" s="657" t="e">
        <f t="shared" si="13"/>
        <v>#REF!</v>
      </c>
      <c r="AF51" s="652"/>
      <c r="AG51" s="652"/>
    </row>
    <row r="52" spans="3:33">
      <c r="C52" s="1404"/>
      <c r="D52" s="1429" t="s">
        <v>591</v>
      </c>
      <c r="E52" s="658" t="s">
        <v>138</v>
      </c>
      <c r="F52" s="659" t="e">
        <f>[18]MANPOWER!Z5</f>
        <v>#REF!</v>
      </c>
      <c r="G52" s="659" t="e">
        <f>[18]MANPOWER!S6</f>
        <v>#REF!</v>
      </c>
      <c r="H52" s="538" t="e">
        <f t="shared" si="14"/>
        <v>#REF!</v>
      </c>
      <c r="I52" s="660" t="e">
        <f t="shared" si="3"/>
        <v>#REF!</v>
      </c>
      <c r="J52" s="641"/>
      <c r="K52" s="615"/>
      <c r="L52" s="615"/>
      <c r="M52" s="542"/>
      <c r="N52" s="642"/>
      <c r="O52" s="542"/>
      <c r="Q52" s="643" t="e">
        <f t="shared" si="8"/>
        <v>#REF!</v>
      </c>
      <c r="R52" s="644" t="e">
        <f t="shared" si="9"/>
        <v>#REF!</v>
      </c>
      <c r="S52" s="644" t="e">
        <f t="shared" si="10"/>
        <v>#REF!</v>
      </c>
      <c r="T52" s="644" t="e">
        <f t="shared" si="11"/>
        <v>#REF!</v>
      </c>
      <c r="U52" s="644" t="e">
        <f t="shared" si="12"/>
        <v>#REF!</v>
      </c>
      <c r="V52" s="645" t="e">
        <f t="shared" si="13"/>
        <v>#REF!</v>
      </c>
      <c r="AF52" s="652"/>
      <c r="AG52" s="652"/>
    </row>
    <row r="53" spans="3:33">
      <c r="C53" s="1404"/>
      <c r="D53" s="1430"/>
      <c r="E53" s="661" t="s">
        <v>139</v>
      </c>
      <c r="F53" s="662" t="e">
        <f>[18]MANPOWER!Z6</f>
        <v>#REF!</v>
      </c>
      <c r="G53" s="662" t="e">
        <f>[18]MANPOWER!S7</f>
        <v>#REF!</v>
      </c>
      <c r="H53" s="538" t="e">
        <f t="shared" si="14"/>
        <v>#REF!</v>
      </c>
      <c r="I53" s="663" t="e">
        <f t="shared" si="3"/>
        <v>#REF!</v>
      </c>
      <c r="J53" s="641"/>
      <c r="K53" s="615"/>
      <c r="L53" s="615"/>
      <c r="M53" s="542"/>
      <c r="N53" s="642"/>
      <c r="O53" s="542"/>
      <c r="Q53" s="647" t="e">
        <f t="shared" si="8"/>
        <v>#REF!</v>
      </c>
      <c r="R53" s="648" t="e">
        <f t="shared" si="9"/>
        <v>#REF!</v>
      </c>
      <c r="S53" s="648" t="e">
        <f t="shared" si="10"/>
        <v>#REF!</v>
      </c>
      <c r="T53" s="648" t="e">
        <f t="shared" si="11"/>
        <v>#REF!</v>
      </c>
      <c r="U53" s="648" t="e">
        <f t="shared" si="12"/>
        <v>#REF!</v>
      </c>
      <c r="V53" s="649" t="e">
        <f t="shared" si="13"/>
        <v>#REF!</v>
      </c>
      <c r="AF53" s="652"/>
      <c r="AG53" s="652"/>
    </row>
    <row r="54" spans="3:33">
      <c r="C54" s="1404"/>
      <c r="D54" s="1430"/>
      <c r="E54" s="661" t="s">
        <v>141</v>
      </c>
      <c r="F54" s="662" t="e">
        <f>[18]MANPOWER!Z7</f>
        <v>#REF!</v>
      </c>
      <c r="G54" s="662" t="e">
        <f>[18]MANPOWER!S8</f>
        <v>#REF!</v>
      </c>
      <c r="H54" s="538" t="e">
        <f t="shared" si="14"/>
        <v>#REF!</v>
      </c>
      <c r="I54" s="663" t="e">
        <f t="shared" si="3"/>
        <v>#REF!</v>
      </c>
      <c r="J54" s="641"/>
      <c r="K54" s="615"/>
      <c r="L54" s="615"/>
      <c r="M54" s="542"/>
      <c r="N54" s="642"/>
      <c r="O54" s="542"/>
      <c r="Q54" s="647" t="e">
        <f t="shared" si="8"/>
        <v>#REF!</v>
      </c>
      <c r="R54" s="648" t="e">
        <f t="shared" si="9"/>
        <v>#REF!</v>
      </c>
      <c r="S54" s="648" t="e">
        <f t="shared" si="10"/>
        <v>#REF!</v>
      </c>
      <c r="T54" s="648" t="e">
        <f t="shared" si="11"/>
        <v>#REF!</v>
      </c>
      <c r="U54" s="648" t="e">
        <f t="shared" si="12"/>
        <v>#REF!</v>
      </c>
      <c r="V54" s="649" t="e">
        <f t="shared" si="13"/>
        <v>#REF!</v>
      </c>
      <c r="AF54" s="652"/>
      <c r="AG54" s="652"/>
    </row>
    <row r="55" spans="3:33">
      <c r="C55" s="1404"/>
      <c r="D55" s="1430"/>
      <c r="E55" s="661" t="s">
        <v>512</v>
      </c>
      <c r="F55" s="662"/>
      <c r="G55" s="662"/>
      <c r="H55" s="538">
        <f t="shared" si="14"/>
        <v>0</v>
      </c>
      <c r="I55" s="663">
        <f t="shared" si="3"/>
        <v>0</v>
      </c>
      <c r="J55" s="641"/>
      <c r="K55" s="615"/>
      <c r="L55" s="615"/>
      <c r="M55" s="542"/>
      <c r="N55" s="642"/>
      <c r="O55" s="542"/>
      <c r="Q55" s="647">
        <f t="shared" si="8"/>
        <v>0</v>
      </c>
      <c r="R55" s="648">
        <f t="shared" si="9"/>
        <v>0</v>
      </c>
      <c r="S55" s="648">
        <f t="shared" si="10"/>
        <v>0</v>
      </c>
      <c r="T55" s="648">
        <f t="shared" si="11"/>
        <v>0</v>
      </c>
      <c r="U55" s="648">
        <f t="shared" si="12"/>
        <v>0</v>
      </c>
      <c r="V55" s="649">
        <f t="shared" si="13"/>
        <v>0</v>
      </c>
      <c r="AF55" s="652"/>
      <c r="AG55" s="652"/>
    </row>
    <row r="56" spans="3:33">
      <c r="C56" s="1404"/>
      <c r="D56" s="1430"/>
      <c r="E56" s="661" t="s">
        <v>143</v>
      </c>
      <c r="F56" s="662" t="e">
        <f>[18]MANPOWER!Z9</f>
        <v>#REF!</v>
      </c>
      <c r="G56" s="662"/>
      <c r="H56" s="538" t="e">
        <f t="shared" si="14"/>
        <v>#REF!</v>
      </c>
      <c r="I56" s="663" t="e">
        <f t="shared" si="3"/>
        <v>#REF!</v>
      </c>
      <c r="J56" s="641"/>
      <c r="K56" s="615"/>
      <c r="L56" s="615"/>
      <c r="M56" s="542"/>
      <c r="N56" s="642"/>
      <c r="O56" s="542"/>
      <c r="Q56" s="647">
        <f t="shared" si="8"/>
        <v>0</v>
      </c>
      <c r="R56" s="648">
        <f t="shared" si="9"/>
        <v>0</v>
      </c>
      <c r="S56" s="648">
        <f t="shared" si="10"/>
        <v>0</v>
      </c>
      <c r="T56" s="648">
        <f t="shared" si="11"/>
        <v>0</v>
      </c>
      <c r="U56" s="648">
        <f t="shared" si="12"/>
        <v>0</v>
      </c>
      <c r="V56" s="649">
        <f t="shared" si="13"/>
        <v>0</v>
      </c>
      <c r="AF56" s="652"/>
      <c r="AG56" s="652"/>
    </row>
    <row r="57" spans="3:33">
      <c r="C57" s="1404"/>
      <c r="D57" s="1430"/>
      <c r="E57" s="661" t="s">
        <v>517</v>
      </c>
      <c r="F57" s="662" t="e">
        <f>[18]MANPOWER!Z10</f>
        <v>#REF!</v>
      </c>
      <c r="G57" s="662"/>
      <c r="H57" s="538" t="e">
        <f t="shared" si="14"/>
        <v>#REF!</v>
      </c>
      <c r="I57" s="663" t="e">
        <f t="shared" si="3"/>
        <v>#REF!</v>
      </c>
      <c r="J57" s="641"/>
      <c r="K57" s="615"/>
      <c r="L57" s="615"/>
      <c r="M57" s="542"/>
      <c r="N57" s="642"/>
      <c r="O57" s="542"/>
      <c r="Q57" s="647">
        <f t="shared" si="8"/>
        <v>0</v>
      </c>
      <c r="R57" s="648">
        <f t="shared" si="9"/>
        <v>0</v>
      </c>
      <c r="S57" s="648">
        <f t="shared" si="10"/>
        <v>0</v>
      </c>
      <c r="T57" s="648">
        <f t="shared" si="11"/>
        <v>0</v>
      </c>
      <c r="U57" s="648">
        <f t="shared" si="12"/>
        <v>0</v>
      </c>
      <c r="V57" s="649">
        <f t="shared" si="13"/>
        <v>0</v>
      </c>
      <c r="AF57" s="652"/>
      <c r="AG57" s="652"/>
    </row>
    <row r="58" spans="3:33">
      <c r="C58" s="1404"/>
      <c r="D58" s="1430"/>
      <c r="E58" s="661" t="s">
        <v>144</v>
      </c>
      <c r="F58" s="662" t="e">
        <f>[18]MANPOWER!Z11</f>
        <v>#REF!</v>
      </c>
      <c r="G58" s="662"/>
      <c r="H58" s="538" t="e">
        <f t="shared" si="14"/>
        <v>#REF!</v>
      </c>
      <c r="I58" s="663" t="e">
        <f t="shared" si="3"/>
        <v>#REF!</v>
      </c>
      <c r="J58" s="641"/>
      <c r="K58" s="615"/>
      <c r="L58" s="615"/>
      <c r="M58" s="542"/>
      <c r="N58" s="642"/>
      <c r="O58" s="542"/>
      <c r="Q58" s="647">
        <f t="shared" si="8"/>
        <v>0</v>
      </c>
      <c r="R58" s="648">
        <f t="shared" si="9"/>
        <v>0</v>
      </c>
      <c r="S58" s="648">
        <f t="shared" si="10"/>
        <v>0</v>
      </c>
      <c r="T58" s="648">
        <f t="shared" si="11"/>
        <v>0</v>
      </c>
      <c r="U58" s="648">
        <f t="shared" si="12"/>
        <v>0</v>
      </c>
      <c r="V58" s="649">
        <f t="shared" si="13"/>
        <v>0</v>
      </c>
      <c r="AF58" s="652"/>
      <c r="AG58" s="652"/>
    </row>
    <row r="59" spans="3:33">
      <c r="C59" s="1404"/>
      <c r="D59" s="1430"/>
      <c r="E59" s="661" t="s">
        <v>145</v>
      </c>
      <c r="F59" s="662" t="e">
        <f>[18]MANPOWER!Z12</f>
        <v>#REF!</v>
      </c>
      <c r="G59" s="662"/>
      <c r="H59" s="538" t="e">
        <f t="shared" si="14"/>
        <v>#REF!</v>
      </c>
      <c r="I59" s="663" t="e">
        <f t="shared" si="3"/>
        <v>#REF!</v>
      </c>
      <c r="J59" s="641"/>
      <c r="K59" s="615"/>
      <c r="L59" s="615"/>
      <c r="M59" s="542"/>
      <c r="N59" s="642"/>
      <c r="O59" s="542"/>
      <c r="Q59" s="647">
        <f t="shared" si="8"/>
        <v>0</v>
      </c>
      <c r="R59" s="648">
        <f t="shared" si="9"/>
        <v>0</v>
      </c>
      <c r="S59" s="648">
        <f t="shared" si="10"/>
        <v>0</v>
      </c>
      <c r="T59" s="648">
        <f t="shared" si="11"/>
        <v>0</v>
      </c>
      <c r="U59" s="648">
        <f t="shared" si="12"/>
        <v>0</v>
      </c>
      <c r="V59" s="649">
        <f t="shared" si="13"/>
        <v>0</v>
      </c>
      <c r="AF59" s="652"/>
      <c r="AG59" s="652"/>
    </row>
    <row r="60" spans="3:33">
      <c r="C60" s="1404"/>
      <c r="D60" s="1430"/>
      <c r="E60" s="661" t="s">
        <v>146</v>
      </c>
      <c r="F60" s="662"/>
      <c r="G60" s="662"/>
      <c r="H60" s="538">
        <f t="shared" si="14"/>
        <v>0</v>
      </c>
      <c r="I60" s="663">
        <f t="shared" si="3"/>
        <v>0</v>
      </c>
      <c r="J60" s="641"/>
      <c r="K60" s="615"/>
      <c r="L60" s="615"/>
      <c r="M60" s="542"/>
      <c r="N60" s="642"/>
      <c r="O60" s="542"/>
      <c r="Q60" s="647">
        <f t="shared" si="8"/>
        <v>0</v>
      </c>
      <c r="R60" s="648">
        <f t="shared" si="9"/>
        <v>0</v>
      </c>
      <c r="S60" s="648">
        <f t="shared" si="10"/>
        <v>0</v>
      </c>
      <c r="T60" s="648">
        <f t="shared" si="11"/>
        <v>0</v>
      </c>
      <c r="U60" s="648">
        <f t="shared" si="12"/>
        <v>0</v>
      </c>
      <c r="V60" s="649">
        <f t="shared" si="13"/>
        <v>0</v>
      </c>
      <c r="AF60" s="652"/>
      <c r="AG60" s="652"/>
    </row>
    <row r="61" spans="3:33">
      <c r="C61" s="1404"/>
      <c r="D61" s="1430"/>
      <c r="E61" s="661" t="s">
        <v>147</v>
      </c>
      <c r="F61" s="662" t="e">
        <f>[18]MANPOWER!Z14</f>
        <v>#REF!</v>
      </c>
      <c r="G61" s="662" t="e">
        <f>[18]MANPOWER!S15</f>
        <v>#REF!</v>
      </c>
      <c r="H61" s="538" t="e">
        <f t="shared" si="14"/>
        <v>#REF!</v>
      </c>
      <c r="I61" s="663" t="e">
        <f t="shared" si="3"/>
        <v>#REF!</v>
      </c>
      <c r="J61" s="641"/>
      <c r="K61" s="615"/>
      <c r="L61" s="615"/>
      <c r="M61" s="542"/>
      <c r="N61" s="642"/>
      <c r="O61" s="542"/>
      <c r="Q61" s="647" t="e">
        <f t="shared" si="8"/>
        <v>#REF!</v>
      </c>
      <c r="R61" s="648" t="e">
        <f t="shared" si="9"/>
        <v>#REF!</v>
      </c>
      <c r="S61" s="648" t="e">
        <f t="shared" si="10"/>
        <v>#REF!</v>
      </c>
      <c r="T61" s="648" t="e">
        <f t="shared" si="11"/>
        <v>#REF!</v>
      </c>
      <c r="U61" s="648" t="e">
        <f t="shared" si="12"/>
        <v>#REF!</v>
      </c>
      <c r="V61" s="649" t="e">
        <f t="shared" si="13"/>
        <v>#REF!</v>
      </c>
      <c r="AF61" s="652"/>
      <c r="AG61" s="652"/>
    </row>
    <row r="62" spans="3:33">
      <c r="C62" s="1404"/>
      <c r="D62" s="1430"/>
      <c r="E62" s="661" t="s">
        <v>148</v>
      </c>
      <c r="F62" s="662" t="e">
        <f>[18]MANPOWER!Z15</f>
        <v>#REF!</v>
      </c>
      <c r="G62" s="662" t="e">
        <f>[18]MANPOWER!S16</f>
        <v>#REF!</v>
      </c>
      <c r="H62" s="538" t="e">
        <f t="shared" si="14"/>
        <v>#REF!</v>
      </c>
      <c r="I62" s="663" t="e">
        <f t="shared" si="3"/>
        <v>#REF!</v>
      </c>
      <c r="J62" s="641"/>
      <c r="K62" s="615"/>
      <c r="L62" s="615"/>
      <c r="M62" s="542"/>
      <c r="N62" s="642"/>
      <c r="O62" s="542"/>
      <c r="Q62" s="647" t="e">
        <f t="shared" si="8"/>
        <v>#REF!</v>
      </c>
      <c r="R62" s="648" t="e">
        <f t="shared" si="9"/>
        <v>#REF!</v>
      </c>
      <c r="S62" s="648" t="e">
        <f t="shared" si="10"/>
        <v>#REF!</v>
      </c>
      <c r="T62" s="648" t="e">
        <f t="shared" si="11"/>
        <v>#REF!</v>
      </c>
      <c r="U62" s="648" t="e">
        <f t="shared" si="12"/>
        <v>#REF!</v>
      </c>
      <c r="V62" s="649" t="e">
        <f t="shared" si="13"/>
        <v>#REF!</v>
      </c>
      <c r="AF62" s="652"/>
      <c r="AG62" s="652"/>
    </row>
    <row r="63" spans="3:33">
      <c r="C63" s="1404"/>
      <c r="D63" s="1430"/>
      <c r="E63" s="661" t="s">
        <v>149</v>
      </c>
      <c r="F63" s="662">
        <f>[18]MANPOWER!Z16</f>
        <v>1</v>
      </c>
      <c r="G63" s="662">
        <f>[18]MANPOWER!S17</f>
        <v>2654.4444444444443</v>
      </c>
      <c r="H63" s="538">
        <v>2</v>
      </c>
      <c r="I63" s="663">
        <f t="shared" si="3"/>
        <v>5308.8888888888887</v>
      </c>
      <c r="J63" s="641"/>
      <c r="K63" s="615"/>
      <c r="L63" s="615"/>
      <c r="M63" s="542"/>
      <c r="N63" s="642"/>
      <c r="O63" s="542"/>
      <c r="Q63" s="647">
        <f t="shared" si="8"/>
        <v>2654.4444444444443</v>
      </c>
      <c r="R63" s="648">
        <f t="shared" si="9"/>
        <v>2654.4444444444443</v>
      </c>
      <c r="S63" s="648">
        <f t="shared" si="10"/>
        <v>2654.4444444444443</v>
      </c>
      <c r="T63" s="648">
        <f t="shared" si="11"/>
        <v>2654.4444444444443</v>
      </c>
      <c r="U63" s="648">
        <f t="shared" si="12"/>
        <v>2654.4444444444443</v>
      </c>
      <c r="V63" s="649">
        <f t="shared" si="13"/>
        <v>2654.4444444444443</v>
      </c>
      <c r="AF63" s="652"/>
      <c r="AG63" s="652"/>
    </row>
    <row r="64" spans="3:33">
      <c r="C64" s="1404"/>
      <c r="D64" s="1430"/>
      <c r="E64" s="661" t="s">
        <v>519</v>
      </c>
      <c r="F64" s="662"/>
      <c r="G64" s="662">
        <f>[18]MANPOWER!S18</f>
        <v>1404.4444444444446</v>
      </c>
      <c r="H64" s="538">
        <f t="shared" si="14"/>
        <v>0</v>
      </c>
      <c r="I64" s="663">
        <f t="shared" si="3"/>
        <v>0</v>
      </c>
      <c r="J64" s="641"/>
      <c r="K64" s="615"/>
      <c r="L64" s="615"/>
      <c r="M64" s="542"/>
      <c r="N64" s="642"/>
      <c r="O64" s="542"/>
      <c r="Q64" s="647">
        <f t="shared" si="8"/>
        <v>1404.4444444444446</v>
      </c>
      <c r="R64" s="648">
        <f t="shared" si="9"/>
        <v>1404.4444444444446</v>
      </c>
      <c r="S64" s="648">
        <f t="shared" si="10"/>
        <v>1404.4444444444446</v>
      </c>
      <c r="T64" s="648">
        <f t="shared" si="11"/>
        <v>1404.4444444444446</v>
      </c>
      <c r="U64" s="648">
        <f t="shared" si="12"/>
        <v>1404.4444444444446</v>
      </c>
      <c r="V64" s="649">
        <f t="shared" si="13"/>
        <v>1404.4444444444446</v>
      </c>
      <c r="AF64" s="652"/>
      <c r="AG64" s="652"/>
    </row>
    <row r="65" spans="3:33">
      <c r="C65" s="1404"/>
      <c r="D65" s="1430"/>
      <c r="E65" s="661" t="s">
        <v>520</v>
      </c>
      <c r="F65" s="662"/>
      <c r="G65" s="662">
        <f>[18]MANPOWER!S19</f>
        <v>1404.4444444444446</v>
      </c>
      <c r="H65" s="538">
        <f t="shared" si="14"/>
        <v>0</v>
      </c>
      <c r="I65" s="663">
        <f t="shared" si="3"/>
        <v>0</v>
      </c>
      <c r="J65" s="641"/>
      <c r="K65" s="615"/>
      <c r="L65" s="615"/>
      <c r="M65" s="542"/>
      <c r="N65" s="642"/>
      <c r="O65" s="542"/>
      <c r="Q65" s="647">
        <f t="shared" si="8"/>
        <v>1404.4444444444446</v>
      </c>
      <c r="R65" s="648">
        <f t="shared" si="9"/>
        <v>1404.4444444444446</v>
      </c>
      <c r="S65" s="648">
        <f t="shared" si="10"/>
        <v>1404.4444444444446</v>
      </c>
      <c r="T65" s="648">
        <f t="shared" si="11"/>
        <v>1404.4444444444446</v>
      </c>
      <c r="U65" s="648">
        <f t="shared" si="12"/>
        <v>1404.4444444444446</v>
      </c>
      <c r="V65" s="649">
        <f t="shared" si="13"/>
        <v>1404.4444444444446</v>
      </c>
      <c r="AF65" s="652"/>
      <c r="AG65" s="652"/>
    </row>
    <row r="66" spans="3:33" ht="13.5" thickBot="1">
      <c r="C66" s="1405"/>
      <c r="D66" s="1431"/>
      <c r="E66" s="664" t="s">
        <v>150</v>
      </c>
      <c r="F66" s="665"/>
      <c r="G66" s="665">
        <f>[18]MANPOWER!S20</f>
        <v>1404.4444444444446</v>
      </c>
      <c r="H66" s="666">
        <f t="shared" si="14"/>
        <v>0</v>
      </c>
      <c r="I66" s="667">
        <f t="shared" si="3"/>
        <v>0</v>
      </c>
      <c r="J66" s="641"/>
      <c r="K66" s="615"/>
      <c r="L66" s="615"/>
      <c r="M66" s="542"/>
      <c r="N66" s="642"/>
      <c r="O66" s="542"/>
      <c r="Q66" s="668">
        <f t="shared" si="8"/>
        <v>1404.4444444444446</v>
      </c>
      <c r="R66" s="669">
        <f t="shared" si="9"/>
        <v>1404.4444444444446</v>
      </c>
      <c r="S66" s="669">
        <f t="shared" si="10"/>
        <v>1404.4444444444446</v>
      </c>
      <c r="T66" s="669">
        <f t="shared" si="11"/>
        <v>1404.4444444444446</v>
      </c>
      <c r="U66" s="669">
        <f t="shared" si="12"/>
        <v>1404.4444444444446</v>
      </c>
      <c r="V66" s="670">
        <f t="shared" si="13"/>
        <v>1404.4444444444446</v>
      </c>
      <c r="AF66" s="652"/>
      <c r="AG66" s="652"/>
    </row>
    <row r="67" spans="3:33" ht="16.5" thickBot="1">
      <c r="E67" s="671" t="s">
        <v>120</v>
      </c>
      <c r="F67" s="672"/>
      <c r="G67" s="673"/>
      <c r="H67" s="674"/>
      <c r="I67" s="675" t="e">
        <f>SUM(I37:I66)</f>
        <v>#REF!</v>
      </c>
      <c r="J67" s="676"/>
      <c r="K67" s="677"/>
      <c r="L67" s="677"/>
      <c r="M67" s="678">
        <f>SUM(M37:M66)</f>
        <v>0</v>
      </c>
      <c r="N67" s="679" t="e">
        <f>SUM(N37:N66)</f>
        <v>#REF!</v>
      </c>
      <c r="O67" s="678" t="e">
        <f>SUM(O37:O66)</f>
        <v>#REF!</v>
      </c>
      <c r="Q67" s="680" t="e">
        <f t="shared" ref="Q67:V67" si="15">SUM(Q37:Q66)</f>
        <v>#REF!</v>
      </c>
      <c r="R67" s="681" t="e">
        <f t="shared" si="15"/>
        <v>#REF!</v>
      </c>
      <c r="S67" s="681" t="e">
        <f t="shared" si="15"/>
        <v>#REF!</v>
      </c>
      <c r="T67" s="681" t="e">
        <f t="shared" si="15"/>
        <v>#REF!</v>
      </c>
      <c r="U67" s="681" t="e">
        <f t="shared" si="15"/>
        <v>#REF!</v>
      </c>
      <c r="V67" s="681" t="e">
        <f t="shared" si="15"/>
        <v>#REF!</v>
      </c>
      <c r="AF67" s="682"/>
      <c r="AG67" s="682"/>
    </row>
    <row r="68" spans="3:33" ht="15.75" customHeight="1">
      <c r="C68" s="1403" t="s">
        <v>559</v>
      </c>
      <c r="D68" s="1429" t="s">
        <v>592</v>
      </c>
      <c r="E68" s="683" t="s">
        <v>152</v>
      </c>
      <c r="F68" s="684"/>
      <c r="G68" s="684"/>
      <c r="H68" s="522">
        <f t="shared" si="14"/>
        <v>0</v>
      </c>
      <c r="I68" s="660">
        <f t="shared" ref="I68:I87" si="16">F68*G68*H68</f>
        <v>0</v>
      </c>
      <c r="J68" s="685"/>
      <c r="K68" s="686"/>
      <c r="L68" s="686">
        <f t="shared" ref="L68:L77" si="17">$H$3</f>
        <v>12</v>
      </c>
      <c r="M68" s="687">
        <f t="shared" ref="M68:M77" si="18">J68*K68*L68</f>
        <v>0</v>
      </c>
      <c r="N68" s="688">
        <f t="shared" ref="N68:N77" si="19">IF(I68&gt;M68,I68-M68,0)</f>
        <v>0</v>
      </c>
      <c r="O68" s="687">
        <f t="shared" ref="O68:O77" si="20">IF(I68&lt;M68,I68-M68,0)</f>
        <v>0</v>
      </c>
      <c r="Q68" s="643">
        <f t="shared" ref="Q68:Q87" si="21">G68</f>
        <v>0</v>
      </c>
      <c r="R68" s="644">
        <f t="shared" ref="R68:R87" si="22">G68</f>
        <v>0</v>
      </c>
      <c r="S68" s="644">
        <f t="shared" ref="S68:S87" si="23">G68</f>
        <v>0</v>
      </c>
      <c r="T68" s="644">
        <f t="shared" ref="T68:T87" si="24">G68</f>
        <v>0</v>
      </c>
      <c r="U68" s="644">
        <f t="shared" ref="U68:U87" si="25">G68</f>
        <v>0</v>
      </c>
      <c r="V68" s="645">
        <f t="shared" ref="V68:V87" si="26">G68</f>
        <v>0</v>
      </c>
      <c r="AF68" s="650"/>
      <c r="AG68" s="650"/>
    </row>
    <row r="69" spans="3:33" ht="15.75">
      <c r="C69" s="1404"/>
      <c r="D69" s="1430"/>
      <c r="E69" s="689" t="s">
        <v>153</v>
      </c>
      <c r="F69" s="613"/>
      <c r="G69" s="613"/>
      <c r="H69" s="538">
        <f t="shared" si="14"/>
        <v>0</v>
      </c>
      <c r="I69" s="663">
        <f t="shared" si="16"/>
        <v>0</v>
      </c>
      <c r="J69" s="641"/>
      <c r="K69" s="615"/>
      <c r="L69" s="615">
        <f t="shared" si="17"/>
        <v>12</v>
      </c>
      <c r="M69" s="542">
        <f t="shared" si="18"/>
        <v>0</v>
      </c>
      <c r="N69" s="642">
        <f t="shared" si="19"/>
        <v>0</v>
      </c>
      <c r="O69" s="542">
        <f t="shared" si="20"/>
        <v>0</v>
      </c>
      <c r="Q69" s="647">
        <f t="shared" si="21"/>
        <v>0</v>
      </c>
      <c r="R69" s="648">
        <f t="shared" si="22"/>
        <v>0</v>
      </c>
      <c r="S69" s="648">
        <f t="shared" si="23"/>
        <v>0</v>
      </c>
      <c r="T69" s="648">
        <f t="shared" si="24"/>
        <v>0</v>
      </c>
      <c r="U69" s="648">
        <f t="shared" si="25"/>
        <v>0</v>
      </c>
      <c r="V69" s="649">
        <f t="shared" si="26"/>
        <v>0</v>
      </c>
      <c r="AF69" s="650"/>
      <c r="AG69" s="650"/>
    </row>
    <row r="70" spans="3:33" ht="15.75">
      <c r="C70" s="1404"/>
      <c r="D70" s="1430"/>
      <c r="E70" s="689" t="s">
        <v>154</v>
      </c>
      <c r="F70" s="613" t="e">
        <f>[18]MANPOWER!Y23</f>
        <v>#REF!</v>
      </c>
      <c r="G70" s="613" t="e">
        <f>[18]MANPOWER!H28</f>
        <v>#REF!</v>
      </c>
      <c r="H70" s="538" t="e">
        <f t="shared" si="14"/>
        <v>#REF!</v>
      </c>
      <c r="I70" s="663" t="e">
        <f t="shared" si="16"/>
        <v>#REF!</v>
      </c>
      <c r="J70" s="641"/>
      <c r="K70" s="615"/>
      <c r="L70" s="615">
        <f t="shared" si="17"/>
        <v>12</v>
      </c>
      <c r="M70" s="542">
        <f t="shared" si="18"/>
        <v>0</v>
      </c>
      <c r="N70" s="642" t="e">
        <f t="shared" si="19"/>
        <v>#REF!</v>
      </c>
      <c r="O70" s="542" t="e">
        <f t="shared" si="20"/>
        <v>#REF!</v>
      </c>
      <c r="Q70" s="647" t="e">
        <f t="shared" si="21"/>
        <v>#REF!</v>
      </c>
      <c r="R70" s="648" t="e">
        <f t="shared" si="22"/>
        <v>#REF!</v>
      </c>
      <c r="S70" s="648" t="e">
        <f t="shared" si="23"/>
        <v>#REF!</v>
      </c>
      <c r="T70" s="648" t="e">
        <f t="shared" si="24"/>
        <v>#REF!</v>
      </c>
      <c r="U70" s="648" t="e">
        <f t="shared" si="25"/>
        <v>#REF!</v>
      </c>
      <c r="V70" s="649" t="e">
        <f t="shared" si="26"/>
        <v>#REF!</v>
      </c>
      <c r="AF70" s="650"/>
      <c r="AG70" s="650"/>
    </row>
    <row r="71" spans="3:33" ht="15.75">
      <c r="C71" s="1404"/>
      <c r="D71" s="1430"/>
      <c r="E71" s="689" t="s">
        <v>155</v>
      </c>
      <c r="F71" s="613"/>
      <c r="G71" s="613"/>
      <c r="H71" s="538">
        <f t="shared" si="14"/>
        <v>0</v>
      </c>
      <c r="I71" s="663">
        <f t="shared" si="16"/>
        <v>0</v>
      </c>
      <c r="J71" s="641"/>
      <c r="K71" s="615"/>
      <c r="L71" s="615">
        <f t="shared" si="17"/>
        <v>12</v>
      </c>
      <c r="M71" s="542">
        <f t="shared" si="18"/>
        <v>0</v>
      </c>
      <c r="N71" s="642">
        <f t="shared" si="19"/>
        <v>0</v>
      </c>
      <c r="O71" s="542">
        <f t="shared" si="20"/>
        <v>0</v>
      </c>
      <c r="Q71" s="647">
        <f t="shared" si="21"/>
        <v>0</v>
      </c>
      <c r="R71" s="648">
        <f t="shared" si="22"/>
        <v>0</v>
      </c>
      <c r="S71" s="648">
        <f t="shared" si="23"/>
        <v>0</v>
      </c>
      <c r="T71" s="648">
        <f t="shared" si="24"/>
        <v>0</v>
      </c>
      <c r="U71" s="648">
        <f t="shared" si="25"/>
        <v>0</v>
      </c>
      <c r="V71" s="649">
        <f t="shared" si="26"/>
        <v>0</v>
      </c>
      <c r="AF71" s="650"/>
      <c r="AG71" s="650"/>
    </row>
    <row r="72" spans="3:33" ht="15.75">
      <c r="C72" s="1404"/>
      <c r="D72" s="1430"/>
      <c r="E72" s="689" t="s">
        <v>156</v>
      </c>
      <c r="F72" s="613" t="e">
        <f>[18]MANPOWER!Y25</f>
        <v>#REF!</v>
      </c>
      <c r="G72" s="613" t="e">
        <f>[18]MANPOWER!H30</f>
        <v>#REF!</v>
      </c>
      <c r="H72" s="538" t="e">
        <f t="shared" si="14"/>
        <v>#REF!</v>
      </c>
      <c r="I72" s="663" t="e">
        <f t="shared" si="16"/>
        <v>#REF!</v>
      </c>
      <c r="J72" s="641"/>
      <c r="K72" s="615"/>
      <c r="L72" s="615">
        <f t="shared" si="17"/>
        <v>12</v>
      </c>
      <c r="M72" s="542">
        <f t="shared" si="18"/>
        <v>0</v>
      </c>
      <c r="N72" s="642" t="e">
        <f t="shared" si="19"/>
        <v>#REF!</v>
      </c>
      <c r="O72" s="542" t="e">
        <f t="shared" si="20"/>
        <v>#REF!</v>
      </c>
      <c r="Q72" s="647" t="e">
        <f t="shared" si="21"/>
        <v>#REF!</v>
      </c>
      <c r="R72" s="648" t="e">
        <f t="shared" si="22"/>
        <v>#REF!</v>
      </c>
      <c r="S72" s="648" t="e">
        <f t="shared" si="23"/>
        <v>#REF!</v>
      </c>
      <c r="T72" s="648" t="e">
        <f t="shared" si="24"/>
        <v>#REF!</v>
      </c>
      <c r="U72" s="648" t="e">
        <f t="shared" si="25"/>
        <v>#REF!</v>
      </c>
      <c r="V72" s="649" t="e">
        <f t="shared" si="26"/>
        <v>#REF!</v>
      </c>
      <c r="AF72" s="650"/>
      <c r="AG72" s="650"/>
    </row>
    <row r="73" spans="3:33" ht="15.75">
      <c r="C73" s="1404"/>
      <c r="D73" s="1430"/>
      <c r="E73" s="689" t="s">
        <v>157</v>
      </c>
      <c r="F73" s="613" t="e">
        <f>[18]MANPOWER!Y26</f>
        <v>#REF!</v>
      </c>
      <c r="G73" s="613"/>
      <c r="H73" s="538" t="e">
        <f t="shared" si="14"/>
        <v>#REF!</v>
      </c>
      <c r="I73" s="663" t="e">
        <f t="shared" si="16"/>
        <v>#REF!</v>
      </c>
      <c r="J73" s="641"/>
      <c r="K73" s="615"/>
      <c r="L73" s="615">
        <f t="shared" si="17"/>
        <v>12</v>
      </c>
      <c r="M73" s="542">
        <f t="shared" si="18"/>
        <v>0</v>
      </c>
      <c r="N73" s="642" t="e">
        <f t="shared" si="19"/>
        <v>#REF!</v>
      </c>
      <c r="O73" s="542" t="e">
        <f t="shared" si="20"/>
        <v>#REF!</v>
      </c>
      <c r="Q73" s="647">
        <f t="shared" si="21"/>
        <v>0</v>
      </c>
      <c r="R73" s="648">
        <f t="shared" si="22"/>
        <v>0</v>
      </c>
      <c r="S73" s="648">
        <f t="shared" si="23"/>
        <v>0</v>
      </c>
      <c r="T73" s="648">
        <f t="shared" si="24"/>
        <v>0</v>
      </c>
      <c r="U73" s="648">
        <f t="shared" si="25"/>
        <v>0</v>
      </c>
      <c r="V73" s="649">
        <f t="shared" si="26"/>
        <v>0</v>
      </c>
      <c r="AF73" s="650"/>
      <c r="AG73" s="650"/>
    </row>
    <row r="74" spans="3:33" ht="15.75">
      <c r="C74" s="1404"/>
      <c r="D74" s="1430"/>
      <c r="E74" s="689" t="s">
        <v>158</v>
      </c>
      <c r="F74" s="613" t="e">
        <f>[18]MANPOWER!Y27</f>
        <v>#REF!</v>
      </c>
      <c r="G74" s="613"/>
      <c r="H74" s="538" t="e">
        <f t="shared" si="14"/>
        <v>#REF!</v>
      </c>
      <c r="I74" s="663" t="e">
        <f t="shared" si="16"/>
        <v>#REF!</v>
      </c>
      <c r="J74" s="641"/>
      <c r="K74" s="615"/>
      <c r="L74" s="615">
        <f t="shared" si="17"/>
        <v>12</v>
      </c>
      <c r="M74" s="542">
        <f t="shared" si="18"/>
        <v>0</v>
      </c>
      <c r="N74" s="642" t="e">
        <f t="shared" si="19"/>
        <v>#REF!</v>
      </c>
      <c r="O74" s="542" t="e">
        <f t="shared" si="20"/>
        <v>#REF!</v>
      </c>
      <c r="Q74" s="647">
        <f t="shared" si="21"/>
        <v>0</v>
      </c>
      <c r="R74" s="648">
        <f t="shared" si="22"/>
        <v>0</v>
      </c>
      <c r="S74" s="648">
        <f t="shared" si="23"/>
        <v>0</v>
      </c>
      <c r="T74" s="648">
        <f t="shared" si="24"/>
        <v>0</v>
      </c>
      <c r="U74" s="648">
        <f t="shared" si="25"/>
        <v>0</v>
      </c>
      <c r="V74" s="649">
        <f t="shared" si="26"/>
        <v>0</v>
      </c>
      <c r="AF74" s="650"/>
      <c r="AG74" s="650"/>
    </row>
    <row r="75" spans="3:33" ht="15.75">
      <c r="C75" s="1404"/>
      <c r="D75" s="1430"/>
      <c r="E75" s="689" t="s">
        <v>159</v>
      </c>
      <c r="F75" s="613" t="e">
        <f>[18]MANPOWER!Y28</f>
        <v>#REF!</v>
      </c>
      <c r="G75" s="613"/>
      <c r="H75" s="538" t="e">
        <f t="shared" si="14"/>
        <v>#REF!</v>
      </c>
      <c r="I75" s="663" t="e">
        <f t="shared" si="16"/>
        <v>#REF!</v>
      </c>
      <c r="J75" s="641"/>
      <c r="K75" s="615"/>
      <c r="L75" s="615">
        <f t="shared" si="17"/>
        <v>12</v>
      </c>
      <c r="M75" s="542">
        <f t="shared" si="18"/>
        <v>0</v>
      </c>
      <c r="N75" s="642" t="e">
        <f t="shared" si="19"/>
        <v>#REF!</v>
      </c>
      <c r="O75" s="542" t="e">
        <f t="shared" si="20"/>
        <v>#REF!</v>
      </c>
      <c r="Q75" s="647">
        <f t="shared" si="21"/>
        <v>0</v>
      </c>
      <c r="R75" s="648">
        <f t="shared" si="22"/>
        <v>0</v>
      </c>
      <c r="S75" s="648">
        <f t="shared" si="23"/>
        <v>0</v>
      </c>
      <c r="T75" s="648">
        <f t="shared" si="24"/>
        <v>0</v>
      </c>
      <c r="U75" s="648">
        <f t="shared" si="25"/>
        <v>0</v>
      </c>
      <c r="V75" s="649">
        <f t="shared" si="26"/>
        <v>0</v>
      </c>
      <c r="AF75" s="650"/>
      <c r="AG75" s="650"/>
    </row>
    <row r="76" spans="3:33" ht="15.75">
      <c r="C76" s="1404"/>
      <c r="D76" s="1430"/>
      <c r="E76" s="689" t="s">
        <v>160</v>
      </c>
      <c r="F76" s="613" t="e">
        <f>[18]MANPOWER!Y29</f>
        <v>#REF!</v>
      </c>
      <c r="G76" s="613"/>
      <c r="H76" s="538" t="e">
        <f t="shared" si="14"/>
        <v>#REF!</v>
      </c>
      <c r="I76" s="663" t="e">
        <f t="shared" si="16"/>
        <v>#REF!</v>
      </c>
      <c r="J76" s="641"/>
      <c r="K76" s="615"/>
      <c r="L76" s="615">
        <f t="shared" si="17"/>
        <v>12</v>
      </c>
      <c r="M76" s="542">
        <f t="shared" si="18"/>
        <v>0</v>
      </c>
      <c r="N76" s="642" t="e">
        <f t="shared" si="19"/>
        <v>#REF!</v>
      </c>
      <c r="O76" s="542" t="e">
        <f t="shared" si="20"/>
        <v>#REF!</v>
      </c>
      <c r="Q76" s="647">
        <f t="shared" si="21"/>
        <v>0</v>
      </c>
      <c r="R76" s="648">
        <f t="shared" si="22"/>
        <v>0</v>
      </c>
      <c r="S76" s="648">
        <f t="shared" si="23"/>
        <v>0</v>
      </c>
      <c r="T76" s="648">
        <f t="shared" si="24"/>
        <v>0</v>
      </c>
      <c r="U76" s="648">
        <f t="shared" si="25"/>
        <v>0</v>
      </c>
      <c r="V76" s="649">
        <f t="shared" si="26"/>
        <v>0</v>
      </c>
      <c r="AF76" s="650"/>
      <c r="AG76" s="650"/>
    </row>
    <row r="77" spans="3:33" ht="16.5" thickBot="1">
      <c r="C77" s="1404"/>
      <c r="D77" s="1431"/>
      <c r="E77" s="690" t="s">
        <v>161</v>
      </c>
      <c r="F77" s="691" t="e">
        <f>[18]MANPOWER!Y30</f>
        <v>#REF!</v>
      </c>
      <c r="G77" s="691"/>
      <c r="H77" s="577" t="e">
        <f t="shared" si="14"/>
        <v>#REF!</v>
      </c>
      <c r="I77" s="692" t="e">
        <f t="shared" si="16"/>
        <v>#REF!</v>
      </c>
      <c r="J77" s="641"/>
      <c r="K77" s="615"/>
      <c r="L77" s="615">
        <f t="shared" si="17"/>
        <v>12</v>
      </c>
      <c r="M77" s="542">
        <f t="shared" si="18"/>
        <v>0</v>
      </c>
      <c r="N77" s="642" t="e">
        <f t="shared" si="19"/>
        <v>#REF!</v>
      </c>
      <c r="O77" s="542" t="e">
        <f t="shared" si="20"/>
        <v>#REF!</v>
      </c>
      <c r="Q77" s="668">
        <f t="shared" si="21"/>
        <v>0</v>
      </c>
      <c r="R77" s="669">
        <f t="shared" si="22"/>
        <v>0</v>
      </c>
      <c r="S77" s="669">
        <f t="shared" si="23"/>
        <v>0</v>
      </c>
      <c r="T77" s="669">
        <f t="shared" si="24"/>
        <v>0</v>
      </c>
      <c r="U77" s="669">
        <f t="shared" si="25"/>
        <v>0</v>
      </c>
      <c r="V77" s="670">
        <f t="shared" si="26"/>
        <v>0</v>
      </c>
      <c r="AF77" s="650"/>
      <c r="AG77" s="650"/>
    </row>
    <row r="78" spans="3:33" ht="15.75" customHeight="1">
      <c r="C78" s="1404"/>
      <c r="D78" s="1406" t="s">
        <v>593</v>
      </c>
      <c r="E78" s="693" t="s">
        <v>152</v>
      </c>
      <c r="F78" s="662">
        <f>[18]MANPOWER!Z21</f>
        <v>0</v>
      </c>
      <c r="G78" s="662" t="e">
        <f>[18]MANPOWER!S26</f>
        <v>#REF!</v>
      </c>
      <c r="H78" s="694">
        <f t="shared" si="14"/>
        <v>0</v>
      </c>
      <c r="I78" s="695" t="e">
        <f t="shared" si="16"/>
        <v>#REF!</v>
      </c>
      <c r="J78" s="696"/>
      <c r="K78" s="697"/>
      <c r="L78" s="697"/>
      <c r="M78" s="698"/>
      <c r="N78" s="637"/>
      <c r="O78" s="698"/>
      <c r="Q78" s="699" t="e">
        <f t="shared" si="21"/>
        <v>#REF!</v>
      </c>
      <c r="R78" s="700" t="e">
        <f t="shared" si="22"/>
        <v>#REF!</v>
      </c>
      <c r="S78" s="700" t="e">
        <f t="shared" si="23"/>
        <v>#REF!</v>
      </c>
      <c r="T78" s="700" t="e">
        <f t="shared" si="24"/>
        <v>#REF!</v>
      </c>
      <c r="U78" s="700" t="e">
        <f t="shared" si="25"/>
        <v>#REF!</v>
      </c>
      <c r="V78" s="701" t="e">
        <f t="shared" si="26"/>
        <v>#REF!</v>
      </c>
      <c r="AF78" s="650"/>
      <c r="AG78" s="650"/>
    </row>
    <row r="79" spans="3:33" ht="15.75">
      <c r="C79" s="1404"/>
      <c r="D79" s="1407"/>
      <c r="E79" s="702" t="s">
        <v>153</v>
      </c>
      <c r="F79" s="703" t="e">
        <f>[18]MANPOWER!Z22</f>
        <v>#REF!</v>
      </c>
      <c r="G79" s="703" t="e">
        <f>[18]MANPOWER!S27</f>
        <v>#REF!</v>
      </c>
      <c r="H79" s="538" t="e">
        <f t="shared" si="14"/>
        <v>#REF!</v>
      </c>
      <c r="I79" s="663" t="e">
        <f t="shared" si="16"/>
        <v>#REF!</v>
      </c>
      <c r="J79" s="696"/>
      <c r="K79" s="697"/>
      <c r="L79" s="697"/>
      <c r="M79" s="698"/>
      <c r="N79" s="637"/>
      <c r="O79" s="698"/>
      <c r="Q79" s="647" t="e">
        <f t="shared" si="21"/>
        <v>#REF!</v>
      </c>
      <c r="R79" s="648" t="e">
        <f t="shared" si="22"/>
        <v>#REF!</v>
      </c>
      <c r="S79" s="648" t="e">
        <f t="shared" si="23"/>
        <v>#REF!</v>
      </c>
      <c r="T79" s="648" t="e">
        <f t="shared" si="24"/>
        <v>#REF!</v>
      </c>
      <c r="U79" s="648" t="e">
        <f t="shared" si="25"/>
        <v>#REF!</v>
      </c>
      <c r="V79" s="649" t="e">
        <f t="shared" si="26"/>
        <v>#REF!</v>
      </c>
      <c r="AF79" s="650"/>
      <c r="AG79" s="650"/>
    </row>
    <row r="80" spans="3:33" ht="15.75">
      <c r="C80" s="1404"/>
      <c r="D80" s="1407"/>
      <c r="E80" s="702" t="s">
        <v>154</v>
      </c>
      <c r="F80" s="703" t="e">
        <f>[18]MANPOWER!Z23</f>
        <v>#REF!</v>
      </c>
      <c r="G80" s="703"/>
      <c r="H80" s="538" t="e">
        <f t="shared" si="14"/>
        <v>#REF!</v>
      </c>
      <c r="I80" s="663" t="e">
        <f t="shared" si="16"/>
        <v>#REF!</v>
      </c>
      <c r="J80" s="696"/>
      <c r="K80" s="697"/>
      <c r="L80" s="697"/>
      <c r="M80" s="698"/>
      <c r="N80" s="637"/>
      <c r="O80" s="698"/>
      <c r="Q80" s="647">
        <f t="shared" si="21"/>
        <v>0</v>
      </c>
      <c r="R80" s="648">
        <f t="shared" si="22"/>
        <v>0</v>
      </c>
      <c r="S80" s="648">
        <f t="shared" si="23"/>
        <v>0</v>
      </c>
      <c r="T80" s="648">
        <f t="shared" si="24"/>
        <v>0</v>
      </c>
      <c r="U80" s="648">
        <f t="shared" si="25"/>
        <v>0</v>
      </c>
      <c r="V80" s="649">
        <f t="shared" si="26"/>
        <v>0</v>
      </c>
      <c r="AF80" s="650"/>
      <c r="AG80" s="650"/>
    </row>
    <row r="81" spans="3:33" ht="15.75">
      <c r="C81" s="1404"/>
      <c r="D81" s="1407"/>
      <c r="E81" s="702" t="s">
        <v>155</v>
      </c>
      <c r="F81" s="703" t="e">
        <f>[18]MANPOWER!Z24</f>
        <v>#REF!</v>
      </c>
      <c r="G81" s="703" t="e">
        <f>[18]MANPOWER!S29</f>
        <v>#REF!</v>
      </c>
      <c r="H81" s="538" t="e">
        <f t="shared" si="14"/>
        <v>#REF!</v>
      </c>
      <c r="I81" s="663" t="e">
        <f t="shared" si="16"/>
        <v>#REF!</v>
      </c>
      <c r="J81" s="696"/>
      <c r="K81" s="697"/>
      <c r="L81" s="697"/>
      <c r="M81" s="698"/>
      <c r="N81" s="637"/>
      <c r="O81" s="698"/>
      <c r="Q81" s="647" t="e">
        <f t="shared" si="21"/>
        <v>#REF!</v>
      </c>
      <c r="R81" s="648" t="e">
        <f t="shared" si="22"/>
        <v>#REF!</v>
      </c>
      <c r="S81" s="648" t="e">
        <f t="shared" si="23"/>
        <v>#REF!</v>
      </c>
      <c r="T81" s="648" t="e">
        <f t="shared" si="24"/>
        <v>#REF!</v>
      </c>
      <c r="U81" s="648" t="e">
        <f t="shared" si="25"/>
        <v>#REF!</v>
      </c>
      <c r="V81" s="649" t="e">
        <f t="shared" si="26"/>
        <v>#REF!</v>
      </c>
      <c r="AF81" s="650"/>
      <c r="AG81" s="650"/>
    </row>
    <row r="82" spans="3:33" ht="15.75">
      <c r="C82" s="1404"/>
      <c r="D82" s="1407"/>
      <c r="E82" s="702" t="s">
        <v>156</v>
      </c>
      <c r="F82" s="703" t="e">
        <f>[18]MANPOWER!Z25</f>
        <v>#REF!</v>
      </c>
      <c r="G82" s="703" t="e">
        <f>[18]MANPOWER!S30</f>
        <v>#REF!</v>
      </c>
      <c r="H82" s="538" t="e">
        <f t="shared" si="14"/>
        <v>#REF!</v>
      </c>
      <c r="I82" s="663" t="e">
        <f t="shared" si="16"/>
        <v>#REF!</v>
      </c>
      <c r="J82" s="696"/>
      <c r="K82" s="697"/>
      <c r="L82" s="697"/>
      <c r="M82" s="698"/>
      <c r="N82" s="637"/>
      <c r="O82" s="698"/>
      <c r="Q82" s="647" t="e">
        <f t="shared" si="21"/>
        <v>#REF!</v>
      </c>
      <c r="R82" s="648" t="e">
        <f t="shared" si="22"/>
        <v>#REF!</v>
      </c>
      <c r="S82" s="648" t="e">
        <f t="shared" si="23"/>
        <v>#REF!</v>
      </c>
      <c r="T82" s="648" t="e">
        <f t="shared" si="24"/>
        <v>#REF!</v>
      </c>
      <c r="U82" s="648" t="e">
        <f t="shared" si="25"/>
        <v>#REF!</v>
      </c>
      <c r="V82" s="649" t="e">
        <f t="shared" si="26"/>
        <v>#REF!</v>
      </c>
      <c r="AF82" s="650"/>
      <c r="AG82" s="650"/>
    </row>
    <row r="83" spans="3:33" ht="15.75">
      <c r="C83" s="1404"/>
      <c r="D83" s="1407"/>
      <c r="E83" s="702" t="s">
        <v>157</v>
      </c>
      <c r="F83" s="703"/>
      <c r="G83" s="703"/>
      <c r="H83" s="538">
        <f t="shared" si="14"/>
        <v>0</v>
      </c>
      <c r="I83" s="663">
        <f t="shared" si="16"/>
        <v>0</v>
      </c>
      <c r="J83" s="696"/>
      <c r="K83" s="697"/>
      <c r="L83" s="697"/>
      <c r="M83" s="698"/>
      <c r="N83" s="637"/>
      <c r="O83" s="698"/>
      <c r="Q83" s="647">
        <f t="shared" si="21"/>
        <v>0</v>
      </c>
      <c r="R83" s="648">
        <f t="shared" si="22"/>
        <v>0</v>
      </c>
      <c r="S83" s="648">
        <f t="shared" si="23"/>
        <v>0</v>
      </c>
      <c r="T83" s="648">
        <f t="shared" si="24"/>
        <v>0</v>
      </c>
      <c r="U83" s="648">
        <f t="shared" si="25"/>
        <v>0</v>
      </c>
      <c r="V83" s="649">
        <f t="shared" si="26"/>
        <v>0</v>
      </c>
      <c r="AF83" s="650"/>
      <c r="AG83" s="650"/>
    </row>
    <row r="84" spans="3:33" ht="15.75">
      <c r="C84" s="1404"/>
      <c r="D84" s="1407"/>
      <c r="E84" s="702" t="s">
        <v>158</v>
      </c>
      <c r="F84" s="703"/>
      <c r="G84" s="703"/>
      <c r="H84" s="538">
        <f t="shared" si="14"/>
        <v>0</v>
      </c>
      <c r="I84" s="663">
        <f t="shared" si="16"/>
        <v>0</v>
      </c>
      <c r="J84" s="696"/>
      <c r="K84" s="697"/>
      <c r="L84" s="697"/>
      <c r="M84" s="698"/>
      <c r="N84" s="637"/>
      <c r="O84" s="698"/>
      <c r="Q84" s="647">
        <f t="shared" si="21"/>
        <v>0</v>
      </c>
      <c r="R84" s="648">
        <f t="shared" si="22"/>
        <v>0</v>
      </c>
      <c r="S84" s="648">
        <f t="shared" si="23"/>
        <v>0</v>
      </c>
      <c r="T84" s="648">
        <f t="shared" si="24"/>
        <v>0</v>
      </c>
      <c r="U84" s="648">
        <f t="shared" si="25"/>
        <v>0</v>
      </c>
      <c r="V84" s="649">
        <f t="shared" si="26"/>
        <v>0</v>
      </c>
      <c r="AF84" s="650"/>
      <c r="AG84" s="650"/>
    </row>
    <row r="85" spans="3:33" ht="15.75">
      <c r="C85" s="1404"/>
      <c r="D85" s="1407"/>
      <c r="E85" s="702" t="s">
        <v>159</v>
      </c>
      <c r="F85" s="703"/>
      <c r="G85" s="703"/>
      <c r="H85" s="538">
        <f t="shared" si="14"/>
        <v>0</v>
      </c>
      <c r="I85" s="663">
        <f t="shared" si="16"/>
        <v>0</v>
      </c>
      <c r="J85" s="696"/>
      <c r="K85" s="697"/>
      <c r="L85" s="697"/>
      <c r="M85" s="698"/>
      <c r="N85" s="637"/>
      <c r="O85" s="698"/>
      <c r="Q85" s="647">
        <f t="shared" si="21"/>
        <v>0</v>
      </c>
      <c r="R85" s="648">
        <f t="shared" si="22"/>
        <v>0</v>
      </c>
      <c r="S85" s="648">
        <f t="shared" si="23"/>
        <v>0</v>
      </c>
      <c r="T85" s="648">
        <f t="shared" si="24"/>
        <v>0</v>
      </c>
      <c r="U85" s="648">
        <f t="shared" si="25"/>
        <v>0</v>
      </c>
      <c r="V85" s="649">
        <f t="shared" si="26"/>
        <v>0</v>
      </c>
      <c r="AF85" s="650"/>
      <c r="AG85" s="650"/>
    </row>
    <row r="86" spans="3:33" ht="15.75">
      <c r="C86" s="1404"/>
      <c r="D86" s="1407"/>
      <c r="E86" s="702" t="s">
        <v>160</v>
      </c>
      <c r="F86" s="703" t="e">
        <f>[18]MANPOWER!Z29</f>
        <v>#REF!</v>
      </c>
      <c r="G86" s="703"/>
      <c r="H86" s="538" t="e">
        <f t="shared" si="14"/>
        <v>#REF!</v>
      </c>
      <c r="I86" s="663" t="e">
        <f t="shared" si="16"/>
        <v>#REF!</v>
      </c>
      <c r="J86" s="696"/>
      <c r="K86" s="697"/>
      <c r="L86" s="697"/>
      <c r="M86" s="698"/>
      <c r="N86" s="637"/>
      <c r="O86" s="698"/>
      <c r="Q86" s="647">
        <f t="shared" si="21"/>
        <v>0</v>
      </c>
      <c r="R86" s="648">
        <f t="shared" si="22"/>
        <v>0</v>
      </c>
      <c r="S86" s="648">
        <f t="shared" si="23"/>
        <v>0</v>
      </c>
      <c r="T86" s="648">
        <f t="shared" si="24"/>
        <v>0</v>
      </c>
      <c r="U86" s="648">
        <f t="shared" si="25"/>
        <v>0</v>
      </c>
      <c r="V86" s="649">
        <f t="shared" si="26"/>
        <v>0</v>
      </c>
      <c r="AF86" s="650"/>
      <c r="AG86" s="650"/>
    </row>
    <row r="87" spans="3:33" ht="16.5" thickBot="1">
      <c r="C87" s="1405"/>
      <c r="D87" s="1408"/>
      <c r="E87" s="704" t="s">
        <v>161</v>
      </c>
      <c r="F87" s="705" t="e">
        <f>[18]MANPOWER!Z30</f>
        <v>#REF!</v>
      </c>
      <c r="G87" s="705" t="e">
        <f>[18]MANPOWER!S35</f>
        <v>#REF!</v>
      </c>
      <c r="H87" s="538" t="e">
        <f t="shared" si="14"/>
        <v>#REF!</v>
      </c>
      <c r="I87" s="692" t="e">
        <f t="shared" si="16"/>
        <v>#REF!</v>
      </c>
      <c r="J87" s="696"/>
      <c r="K87" s="697"/>
      <c r="L87" s="697"/>
      <c r="M87" s="698"/>
      <c r="N87" s="637"/>
      <c r="O87" s="698"/>
      <c r="Q87" s="668" t="e">
        <f t="shared" si="21"/>
        <v>#REF!</v>
      </c>
      <c r="R87" s="669" t="e">
        <f t="shared" si="22"/>
        <v>#REF!</v>
      </c>
      <c r="S87" s="669" t="e">
        <f t="shared" si="23"/>
        <v>#REF!</v>
      </c>
      <c r="T87" s="669" t="e">
        <f t="shared" si="24"/>
        <v>#REF!</v>
      </c>
      <c r="U87" s="669" t="e">
        <f t="shared" si="25"/>
        <v>#REF!</v>
      </c>
      <c r="V87" s="670" t="e">
        <f t="shared" si="26"/>
        <v>#REF!</v>
      </c>
      <c r="AF87" s="650"/>
      <c r="AG87" s="650"/>
    </row>
    <row r="88" spans="3:33" ht="16.5" thickBot="1">
      <c r="C88" s="706"/>
      <c r="D88" s="707"/>
      <c r="E88" s="708" t="s">
        <v>120</v>
      </c>
      <c r="F88" s="709"/>
      <c r="G88" s="710"/>
      <c r="H88" s="711"/>
      <c r="I88" s="712" t="e">
        <f>SUM(I68:I87)</f>
        <v>#REF!</v>
      </c>
      <c r="J88" s="709"/>
      <c r="K88" s="711"/>
      <c r="L88" s="711"/>
      <c r="M88" s="713"/>
      <c r="N88" s="714"/>
      <c r="O88" s="713"/>
      <c r="Q88" s="680" t="e">
        <f t="shared" ref="Q88:V88" si="27">SUM(Q68:Q87)</f>
        <v>#REF!</v>
      </c>
      <c r="R88" s="680" t="e">
        <f t="shared" si="27"/>
        <v>#REF!</v>
      </c>
      <c r="S88" s="680" t="e">
        <f t="shared" si="27"/>
        <v>#REF!</v>
      </c>
      <c r="T88" s="680" t="e">
        <f t="shared" si="27"/>
        <v>#REF!</v>
      </c>
      <c r="U88" s="680" t="e">
        <f t="shared" si="27"/>
        <v>#REF!</v>
      </c>
      <c r="V88" s="680" t="e">
        <f t="shared" si="27"/>
        <v>#REF!</v>
      </c>
      <c r="AF88" s="650"/>
      <c r="AG88" s="650"/>
    </row>
    <row r="89" spans="3:33" ht="17.25" customHeight="1" thickBot="1">
      <c r="C89" s="1404" t="s">
        <v>559</v>
      </c>
      <c r="D89" s="1416" t="s">
        <v>594</v>
      </c>
      <c r="E89" s="702" t="s">
        <v>526</v>
      </c>
      <c r="F89" s="1021">
        <v>0.15</v>
      </c>
      <c r="G89" s="659">
        <f>[18]MANPOWER!H40</f>
        <v>7558.1481481481478</v>
      </c>
      <c r="H89" s="538">
        <v>10</v>
      </c>
      <c r="I89" s="660">
        <f t="shared" ref="I89:I95" si="28">F89*G89*H89</f>
        <v>11337.222222222223</v>
      </c>
      <c r="J89" s="696"/>
      <c r="K89" s="697"/>
      <c r="L89" s="697"/>
      <c r="M89" s="698"/>
      <c r="N89" s="637"/>
      <c r="O89" s="698"/>
      <c r="Q89" s="699">
        <f t="shared" ref="Q89:Q95" si="29">G89</f>
        <v>7558.1481481481478</v>
      </c>
      <c r="R89" s="700">
        <f t="shared" ref="R89:R95" si="30">G89</f>
        <v>7558.1481481481478</v>
      </c>
      <c r="S89" s="700">
        <f t="shared" ref="S89:S95" si="31">G89</f>
        <v>7558.1481481481478</v>
      </c>
      <c r="T89" s="700">
        <f t="shared" ref="T89:T95" si="32">G89</f>
        <v>7558.1481481481478</v>
      </c>
      <c r="U89" s="700">
        <f t="shared" ref="U89:U95" si="33">G89</f>
        <v>7558.1481481481478</v>
      </c>
      <c r="V89" s="701">
        <f t="shared" ref="V89:V95" si="34">G89</f>
        <v>7558.1481481481478</v>
      </c>
      <c r="AF89" s="650"/>
      <c r="AG89" s="650"/>
    </row>
    <row r="90" spans="3:33" ht="17.25" customHeight="1" thickBot="1">
      <c r="C90" s="1404"/>
      <c r="D90" s="1417"/>
      <c r="E90" s="702" t="s">
        <v>153</v>
      </c>
      <c r="F90" s="1021">
        <v>0.15</v>
      </c>
      <c r="G90" s="703">
        <f>[18]MANPOWER!H41</f>
        <v>4030.3703703703704</v>
      </c>
      <c r="H90" s="538">
        <v>10</v>
      </c>
      <c r="I90" s="663">
        <f t="shared" si="28"/>
        <v>6045.5555555555557</v>
      </c>
      <c r="J90" s="696"/>
      <c r="K90" s="697"/>
      <c r="L90" s="697"/>
      <c r="M90" s="698"/>
      <c r="N90" s="637"/>
      <c r="O90" s="698"/>
      <c r="Q90" s="647">
        <f t="shared" si="29"/>
        <v>4030.3703703703704</v>
      </c>
      <c r="R90" s="648">
        <f t="shared" si="30"/>
        <v>4030.3703703703704</v>
      </c>
      <c r="S90" s="648">
        <f t="shared" si="31"/>
        <v>4030.3703703703704</v>
      </c>
      <c r="T90" s="648">
        <f t="shared" si="32"/>
        <v>4030.3703703703704</v>
      </c>
      <c r="U90" s="648">
        <f t="shared" si="33"/>
        <v>4030.3703703703704</v>
      </c>
      <c r="V90" s="649">
        <f t="shared" si="34"/>
        <v>4030.3703703703704</v>
      </c>
      <c r="AF90" s="650"/>
      <c r="AG90" s="650"/>
    </row>
    <row r="91" spans="3:33" ht="17.25" customHeight="1" thickBot="1">
      <c r="C91" s="1404"/>
      <c r="D91" s="1417"/>
      <c r="E91" s="702" t="s">
        <v>154</v>
      </c>
      <c r="F91" s="1021">
        <v>0.15</v>
      </c>
      <c r="G91" s="703">
        <f>[18]MANPOWER!S42</f>
        <v>4762.5</v>
      </c>
      <c r="H91" s="538">
        <v>10</v>
      </c>
      <c r="I91" s="663">
        <f t="shared" si="28"/>
        <v>7143.75</v>
      </c>
      <c r="J91" s="696"/>
      <c r="K91" s="697"/>
      <c r="L91" s="697"/>
      <c r="M91" s="698"/>
      <c r="N91" s="637"/>
      <c r="O91" s="698"/>
      <c r="Q91" s="647">
        <f t="shared" si="29"/>
        <v>4762.5</v>
      </c>
      <c r="R91" s="648">
        <f t="shared" si="30"/>
        <v>4762.5</v>
      </c>
      <c r="S91" s="648">
        <f t="shared" si="31"/>
        <v>4762.5</v>
      </c>
      <c r="T91" s="648">
        <f t="shared" si="32"/>
        <v>4762.5</v>
      </c>
      <c r="U91" s="648">
        <f t="shared" si="33"/>
        <v>4762.5</v>
      </c>
      <c r="V91" s="649">
        <f t="shared" si="34"/>
        <v>4762.5</v>
      </c>
      <c r="AF91" s="650"/>
      <c r="AG91" s="650"/>
    </row>
    <row r="92" spans="3:33" ht="17.25" customHeight="1" thickBot="1">
      <c r="C92" s="1404"/>
      <c r="D92" s="1417"/>
      <c r="E92" s="702" t="s">
        <v>528</v>
      </c>
      <c r="F92" s="1021">
        <v>0.15</v>
      </c>
      <c r="G92" s="703">
        <f>[18]MANPOWER!H43</f>
        <v>3700</v>
      </c>
      <c r="H92" s="538">
        <v>10</v>
      </c>
      <c r="I92" s="663">
        <f t="shared" si="28"/>
        <v>5550</v>
      </c>
      <c r="J92" s="696"/>
      <c r="K92" s="697"/>
      <c r="L92" s="697"/>
      <c r="M92" s="698"/>
      <c r="N92" s="637"/>
      <c r="O92" s="698"/>
      <c r="Q92" s="647">
        <f t="shared" si="29"/>
        <v>3700</v>
      </c>
      <c r="R92" s="648">
        <f t="shared" si="30"/>
        <v>3700</v>
      </c>
      <c r="S92" s="648">
        <f t="shared" si="31"/>
        <v>3700</v>
      </c>
      <c r="T92" s="648">
        <f t="shared" si="32"/>
        <v>3700</v>
      </c>
      <c r="U92" s="648">
        <f t="shared" si="33"/>
        <v>3700</v>
      </c>
      <c r="V92" s="649">
        <f t="shared" si="34"/>
        <v>3700</v>
      </c>
      <c r="AF92" s="650"/>
      <c r="AG92" s="650"/>
    </row>
    <row r="93" spans="3:33" ht="17.25" customHeight="1" thickBot="1">
      <c r="C93" s="1404"/>
      <c r="D93" s="1417"/>
      <c r="E93" s="702" t="s">
        <v>147</v>
      </c>
      <c r="F93" s="1021">
        <v>0.15</v>
      </c>
      <c r="G93" s="703">
        <f>[18]MANPOWER!H44</f>
        <v>4000</v>
      </c>
      <c r="H93" s="538">
        <v>10</v>
      </c>
      <c r="I93" s="663">
        <f t="shared" si="28"/>
        <v>6000</v>
      </c>
      <c r="J93" s="696"/>
      <c r="K93" s="697"/>
      <c r="L93" s="697"/>
      <c r="M93" s="698"/>
      <c r="N93" s="637"/>
      <c r="O93" s="698"/>
      <c r="Q93" s="647">
        <f t="shared" si="29"/>
        <v>4000</v>
      </c>
      <c r="R93" s="648">
        <f t="shared" si="30"/>
        <v>4000</v>
      </c>
      <c r="S93" s="648">
        <f t="shared" si="31"/>
        <v>4000</v>
      </c>
      <c r="T93" s="648">
        <f t="shared" si="32"/>
        <v>4000</v>
      </c>
      <c r="U93" s="648">
        <f t="shared" si="33"/>
        <v>4000</v>
      </c>
      <c r="V93" s="649">
        <f t="shared" si="34"/>
        <v>4000</v>
      </c>
      <c r="AF93" s="650"/>
      <c r="AG93" s="650"/>
    </row>
    <row r="94" spans="3:33" ht="17.25" customHeight="1" thickBot="1">
      <c r="C94" s="1404"/>
      <c r="D94" s="1417"/>
      <c r="E94" s="702" t="s">
        <v>158</v>
      </c>
      <c r="F94" s="1021">
        <v>0.15</v>
      </c>
      <c r="G94" s="703">
        <f>[18]MANPOWER!S45</f>
        <v>562.5</v>
      </c>
      <c r="H94" s="538">
        <v>10</v>
      </c>
      <c r="I94" s="663">
        <f t="shared" si="28"/>
        <v>843.75</v>
      </c>
      <c r="J94" s="696"/>
      <c r="K94" s="697"/>
      <c r="L94" s="697"/>
      <c r="M94" s="698"/>
      <c r="N94" s="637"/>
      <c r="O94" s="698"/>
      <c r="Q94" s="647">
        <f t="shared" si="29"/>
        <v>562.5</v>
      </c>
      <c r="R94" s="648">
        <f t="shared" si="30"/>
        <v>562.5</v>
      </c>
      <c r="S94" s="648">
        <f t="shared" si="31"/>
        <v>562.5</v>
      </c>
      <c r="T94" s="648">
        <f t="shared" si="32"/>
        <v>562.5</v>
      </c>
      <c r="U94" s="648">
        <f t="shared" si="33"/>
        <v>562.5</v>
      </c>
      <c r="V94" s="649">
        <f t="shared" si="34"/>
        <v>562.5</v>
      </c>
      <c r="AF94" s="650"/>
      <c r="AG94" s="650"/>
    </row>
    <row r="95" spans="3:33" ht="17.25" customHeight="1" thickBot="1">
      <c r="C95" s="1404"/>
      <c r="D95" s="1418"/>
      <c r="E95" s="702" t="s">
        <v>523</v>
      </c>
      <c r="F95" s="1021">
        <v>0.15</v>
      </c>
      <c r="G95" s="703">
        <f>[18]MANPOWER!S46</f>
        <v>278.88888888888891</v>
      </c>
      <c r="H95" s="538">
        <v>10</v>
      </c>
      <c r="I95" s="663">
        <f t="shared" si="28"/>
        <v>418.33333333333337</v>
      </c>
      <c r="J95" s="696"/>
      <c r="K95" s="697"/>
      <c r="L95" s="697"/>
      <c r="M95" s="698"/>
      <c r="N95" s="637"/>
      <c r="O95" s="698"/>
      <c r="Q95" s="647">
        <f t="shared" si="29"/>
        <v>278.88888888888891</v>
      </c>
      <c r="R95" s="648">
        <f t="shared" si="30"/>
        <v>278.88888888888891</v>
      </c>
      <c r="S95" s="648">
        <f t="shared" si="31"/>
        <v>278.88888888888891</v>
      </c>
      <c r="T95" s="648">
        <f t="shared" si="32"/>
        <v>278.88888888888891</v>
      </c>
      <c r="U95" s="648">
        <f t="shared" si="33"/>
        <v>278.88888888888891</v>
      </c>
      <c r="V95" s="649">
        <f t="shared" si="34"/>
        <v>278.88888888888891</v>
      </c>
      <c r="AF95" s="650"/>
      <c r="AG95" s="650"/>
    </row>
    <row r="96" spans="3:33" ht="16.5" thickBot="1">
      <c r="C96" s="706"/>
      <c r="D96" s="707"/>
      <c r="E96" s="708" t="s">
        <v>120</v>
      </c>
      <c r="F96" s="709"/>
      <c r="G96" s="710"/>
      <c r="H96" s="711"/>
      <c r="I96" s="712" t="e">
        <f>SUM(I79:I95)</f>
        <v>#REF!</v>
      </c>
      <c r="J96" s="709"/>
      <c r="K96" s="711"/>
      <c r="L96" s="711"/>
      <c r="M96" s="713"/>
      <c r="N96" s="714"/>
      <c r="O96" s="713"/>
      <c r="Q96" s="680" t="e">
        <f t="shared" ref="Q96:V96" si="35">SUM(Q79:Q95)</f>
        <v>#REF!</v>
      </c>
      <c r="R96" s="680" t="e">
        <f t="shared" si="35"/>
        <v>#REF!</v>
      </c>
      <c r="S96" s="680" t="e">
        <f t="shared" si="35"/>
        <v>#REF!</v>
      </c>
      <c r="T96" s="680" t="e">
        <f t="shared" si="35"/>
        <v>#REF!</v>
      </c>
      <c r="U96" s="680" t="e">
        <f t="shared" si="35"/>
        <v>#REF!</v>
      </c>
      <c r="V96" s="680" t="e">
        <f t="shared" si="35"/>
        <v>#REF!</v>
      </c>
      <c r="AF96" s="650"/>
      <c r="AG96" s="650"/>
    </row>
    <row r="97" spans="3:33" ht="15.75">
      <c r="C97" s="1403" t="s">
        <v>559</v>
      </c>
      <c r="D97" s="1406" t="s">
        <v>595</v>
      </c>
      <c r="E97" s="715" t="s">
        <v>162</v>
      </c>
      <c r="F97" s="716" t="e">
        <f>[18]MANPOWER!Y40</f>
        <v>#REF!</v>
      </c>
      <c r="G97" s="716" t="e">
        <f>[18]MANPOWER!H51</f>
        <v>#REF!</v>
      </c>
      <c r="H97" s="522" t="e">
        <f t="shared" si="14"/>
        <v>#REF!</v>
      </c>
      <c r="I97" s="660" t="e">
        <f t="shared" ref="I97:I112" si="36">F97*G97*H97</f>
        <v>#REF!</v>
      </c>
      <c r="J97" s="717"/>
      <c r="K97" s="615"/>
      <c r="L97" s="615">
        <f t="shared" ref="L97:L108" si="37">$H$3</f>
        <v>12</v>
      </c>
      <c r="M97" s="542">
        <f t="shared" ref="M97:M109" si="38">J97*K97*L97</f>
        <v>0</v>
      </c>
      <c r="N97" s="642" t="e">
        <f t="shared" ref="N97:N109" si="39">IF(I97&gt;M97,I97-M97,0)</f>
        <v>#REF!</v>
      </c>
      <c r="O97" s="542" t="e">
        <f t="shared" ref="O97:O109" si="40">IF(I97&lt;M97,I97-M97,0)</f>
        <v>#REF!</v>
      </c>
      <c r="Q97" s="643" t="e">
        <f t="shared" ref="Q97:Q112" si="41">G97</f>
        <v>#REF!</v>
      </c>
      <c r="R97" s="644" t="e">
        <f t="shared" ref="R97:R112" si="42">G97</f>
        <v>#REF!</v>
      </c>
      <c r="S97" s="644" t="e">
        <f t="shared" ref="S97:S112" si="43">G97</f>
        <v>#REF!</v>
      </c>
      <c r="T97" s="644" t="e">
        <f t="shared" ref="T97:T112" si="44">G97</f>
        <v>#REF!</v>
      </c>
      <c r="U97" s="644" t="e">
        <f t="shared" ref="U97:U112" si="45">G97</f>
        <v>#REF!</v>
      </c>
      <c r="V97" s="645" t="e">
        <f t="shared" ref="V97:V112" si="46">G97</f>
        <v>#REF!</v>
      </c>
      <c r="AF97" s="650"/>
      <c r="AG97" s="650"/>
    </row>
    <row r="98" spans="3:33" ht="15.75">
      <c r="C98" s="1404"/>
      <c r="D98" s="1407"/>
      <c r="E98" s="689" t="s">
        <v>163</v>
      </c>
      <c r="F98" s="613"/>
      <c r="G98" s="613"/>
      <c r="H98" s="538"/>
      <c r="I98" s="663">
        <f t="shared" si="36"/>
        <v>0</v>
      </c>
      <c r="J98" s="717"/>
      <c r="K98" s="615"/>
      <c r="L98" s="615">
        <f t="shared" si="37"/>
        <v>12</v>
      </c>
      <c r="M98" s="542">
        <f t="shared" si="38"/>
        <v>0</v>
      </c>
      <c r="N98" s="642">
        <f t="shared" si="39"/>
        <v>0</v>
      </c>
      <c r="O98" s="542">
        <f t="shared" si="40"/>
        <v>0</v>
      </c>
      <c r="Q98" s="647">
        <f t="shared" si="41"/>
        <v>0</v>
      </c>
      <c r="R98" s="648">
        <f t="shared" si="42"/>
        <v>0</v>
      </c>
      <c r="S98" s="648">
        <f t="shared" si="43"/>
        <v>0</v>
      </c>
      <c r="T98" s="648">
        <f t="shared" si="44"/>
        <v>0</v>
      </c>
      <c r="U98" s="648">
        <f t="shared" si="45"/>
        <v>0</v>
      </c>
      <c r="V98" s="649">
        <f t="shared" si="46"/>
        <v>0</v>
      </c>
      <c r="AF98" s="650"/>
      <c r="AG98" s="650"/>
    </row>
    <row r="99" spans="3:33" ht="15.75">
      <c r="C99" s="1404"/>
      <c r="D99" s="1407"/>
      <c r="E99" s="689" t="s">
        <v>530</v>
      </c>
      <c r="F99" s="613"/>
      <c r="G99" s="613"/>
      <c r="H99" s="538"/>
      <c r="I99" s="663">
        <f t="shared" si="36"/>
        <v>0</v>
      </c>
      <c r="J99" s="717"/>
      <c r="K99" s="615"/>
      <c r="L99" s="615">
        <f t="shared" si="37"/>
        <v>12</v>
      </c>
      <c r="M99" s="542">
        <f t="shared" si="38"/>
        <v>0</v>
      </c>
      <c r="N99" s="642">
        <f t="shared" si="39"/>
        <v>0</v>
      </c>
      <c r="O99" s="542">
        <f t="shared" si="40"/>
        <v>0</v>
      </c>
      <c r="Q99" s="647">
        <f t="shared" si="41"/>
        <v>0</v>
      </c>
      <c r="R99" s="648">
        <f t="shared" si="42"/>
        <v>0</v>
      </c>
      <c r="S99" s="648">
        <f t="shared" si="43"/>
        <v>0</v>
      </c>
      <c r="T99" s="648">
        <f t="shared" si="44"/>
        <v>0</v>
      </c>
      <c r="U99" s="648">
        <f t="shared" si="45"/>
        <v>0</v>
      </c>
      <c r="V99" s="649">
        <f t="shared" si="46"/>
        <v>0</v>
      </c>
      <c r="AF99" s="650"/>
      <c r="AG99" s="650"/>
    </row>
    <row r="100" spans="3:33" ht="15.75">
      <c r="C100" s="1404"/>
      <c r="D100" s="1407"/>
      <c r="E100" s="689" t="s">
        <v>541</v>
      </c>
      <c r="F100" s="613"/>
      <c r="G100" s="613"/>
      <c r="H100" s="538"/>
      <c r="I100" s="663">
        <f t="shared" si="36"/>
        <v>0</v>
      </c>
      <c r="J100" s="717"/>
      <c r="K100" s="615"/>
      <c r="L100" s="615">
        <f t="shared" si="37"/>
        <v>12</v>
      </c>
      <c r="M100" s="542">
        <f t="shared" si="38"/>
        <v>0</v>
      </c>
      <c r="N100" s="642">
        <f t="shared" si="39"/>
        <v>0</v>
      </c>
      <c r="O100" s="542">
        <f t="shared" si="40"/>
        <v>0</v>
      </c>
      <c r="Q100" s="647">
        <f t="shared" si="41"/>
        <v>0</v>
      </c>
      <c r="R100" s="648">
        <f t="shared" si="42"/>
        <v>0</v>
      </c>
      <c r="S100" s="648">
        <f t="shared" si="43"/>
        <v>0</v>
      </c>
      <c r="T100" s="648">
        <f t="shared" si="44"/>
        <v>0</v>
      </c>
      <c r="U100" s="648">
        <f t="shared" si="45"/>
        <v>0</v>
      </c>
      <c r="V100" s="649">
        <f t="shared" si="46"/>
        <v>0</v>
      </c>
      <c r="AF100" s="650"/>
      <c r="AG100" s="650"/>
    </row>
    <row r="101" spans="3:33" ht="15.75">
      <c r="C101" s="1404"/>
      <c r="D101" s="1407"/>
      <c r="E101" s="689" t="s">
        <v>532</v>
      </c>
      <c r="F101" s="613" t="e">
        <f>[18]MANPOWER!Y44</f>
        <v>#REF!</v>
      </c>
      <c r="G101" s="613"/>
      <c r="H101" s="538"/>
      <c r="I101" s="663" t="e">
        <f t="shared" si="36"/>
        <v>#REF!</v>
      </c>
      <c r="J101" s="717"/>
      <c r="K101" s="615"/>
      <c r="L101" s="615">
        <f t="shared" si="37"/>
        <v>12</v>
      </c>
      <c r="M101" s="542">
        <f t="shared" si="38"/>
        <v>0</v>
      </c>
      <c r="N101" s="642" t="e">
        <f t="shared" si="39"/>
        <v>#REF!</v>
      </c>
      <c r="O101" s="542" t="e">
        <f t="shared" si="40"/>
        <v>#REF!</v>
      </c>
      <c r="Q101" s="647">
        <f t="shared" si="41"/>
        <v>0</v>
      </c>
      <c r="R101" s="648">
        <f t="shared" si="42"/>
        <v>0</v>
      </c>
      <c r="S101" s="648">
        <f t="shared" si="43"/>
        <v>0</v>
      </c>
      <c r="T101" s="648">
        <f t="shared" si="44"/>
        <v>0</v>
      </c>
      <c r="U101" s="648">
        <f t="shared" si="45"/>
        <v>0</v>
      </c>
      <c r="V101" s="649">
        <f t="shared" si="46"/>
        <v>0</v>
      </c>
      <c r="AF101" s="650"/>
      <c r="AG101" s="650"/>
    </row>
    <row r="102" spans="3:33" ht="15.75">
      <c r="C102" s="1404"/>
      <c r="D102" s="1407"/>
      <c r="E102" s="689" t="s">
        <v>533</v>
      </c>
      <c r="F102" s="613"/>
      <c r="G102" s="613"/>
      <c r="H102" s="538"/>
      <c r="I102" s="663">
        <f t="shared" si="36"/>
        <v>0</v>
      </c>
      <c r="J102" s="718"/>
      <c r="K102" s="623"/>
      <c r="L102" s="623">
        <f t="shared" si="37"/>
        <v>12</v>
      </c>
      <c r="M102" s="719">
        <f t="shared" si="38"/>
        <v>0</v>
      </c>
      <c r="N102" s="642">
        <f t="shared" si="39"/>
        <v>0</v>
      </c>
      <c r="O102" s="542">
        <f t="shared" si="40"/>
        <v>0</v>
      </c>
      <c r="Q102" s="647">
        <f t="shared" si="41"/>
        <v>0</v>
      </c>
      <c r="R102" s="648">
        <f t="shared" si="42"/>
        <v>0</v>
      </c>
      <c r="S102" s="648">
        <f t="shared" si="43"/>
        <v>0</v>
      </c>
      <c r="T102" s="648">
        <f t="shared" si="44"/>
        <v>0</v>
      </c>
      <c r="U102" s="648">
        <f t="shared" si="45"/>
        <v>0</v>
      </c>
      <c r="V102" s="649">
        <f t="shared" si="46"/>
        <v>0</v>
      </c>
      <c r="AF102" s="650"/>
      <c r="AG102" s="650"/>
    </row>
    <row r="103" spans="3:33" ht="18.95" customHeight="1">
      <c r="C103" s="1404"/>
      <c r="D103" s="1407"/>
      <c r="E103" s="689" t="s">
        <v>164</v>
      </c>
      <c r="F103" s="613">
        <v>1</v>
      </c>
      <c r="G103" s="613">
        <f>[18]MANPOWER!H57</f>
        <v>3173.8888888888891</v>
      </c>
      <c r="H103" s="538">
        <v>8</v>
      </c>
      <c r="I103" s="663">
        <f t="shared" si="36"/>
        <v>25391.111111111113</v>
      </c>
      <c r="J103" s="718"/>
      <c r="K103" s="623"/>
      <c r="L103" s="623">
        <f t="shared" si="37"/>
        <v>12</v>
      </c>
      <c r="M103" s="719">
        <f t="shared" si="38"/>
        <v>0</v>
      </c>
      <c r="N103" s="642">
        <f t="shared" si="39"/>
        <v>25391.111111111113</v>
      </c>
      <c r="O103" s="542">
        <f t="shared" si="40"/>
        <v>0</v>
      </c>
      <c r="Q103" s="647">
        <f t="shared" si="41"/>
        <v>3173.8888888888891</v>
      </c>
      <c r="R103" s="648">
        <f t="shared" si="42"/>
        <v>3173.8888888888891</v>
      </c>
      <c r="S103" s="648">
        <f t="shared" si="43"/>
        <v>3173.8888888888891</v>
      </c>
      <c r="T103" s="648">
        <f t="shared" si="44"/>
        <v>3173.8888888888891</v>
      </c>
      <c r="U103" s="648">
        <f t="shared" si="45"/>
        <v>3173.8888888888891</v>
      </c>
      <c r="V103" s="649">
        <f t="shared" si="46"/>
        <v>3173.8888888888891</v>
      </c>
      <c r="AF103" s="652"/>
      <c r="AG103" s="652"/>
    </row>
    <row r="104" spans="3:33" ht="18.95" customHeight="1" thickBot="1">
      <c r="C104" s="1404"/>
      <c r="D104" s="1408"/>
      <c r="E104" s="690" t="s">
        <v>165</v>
      </c>
      <c r="F104" s="691" t="e">
        <f>[18]MANPOWER!Y47</f>
        <v>#REF!</v>
      </c>
      <c r="G104" s="691" t="e">
        <f>[18]MANPOWER!H58</f>
        <v>#REF!</v>
      </c>
      <c r="H104" s="577" t="e">
        <f t="shared" si="14"/>
        <v>#REF!</v>
      </c>
      <c r="I104" s="692" t="e">
        <f t="shared" si="36"/>
        <v>#REF!</v>
      </c>
      <c r="J104" s="718"/>
      <c r="K104" s="623"/>
      <c r="L104" s="623">
        <f t="shared" si="37"/>
        <v>12</v>
      </c>
      <c r="M104" s="719">
        <f t="shared" si="38"/>
        <v>0</v>
      </c>
      <c r="N104" s="642" t="e">
        <f t="shared" si="39"/>
        <v>#REF!</v>
      </c>
      <c r="O104" s="542" t="e">
        <f t="shared" si="40"/>
        <v>#REF!</v>
      </c>
      <c r="Q104" s="668" t="e">
        <f t="shared" si="41"/>
        <v>#REF!</v>
      </c>
      <c r="R104" s="669" t="e">
        <f t="shared" si="42"/>
        <v>#REF!</v>
      </c>
      <c r="S104" s="669" t="e">
        <f t="shared" si="43"/>
        <v>#REF!</v>
      </c>
      <c r="T104" s="669" t="e">
        <f t="shared" si="44"/>
        <v>#REF!</v>
      </c>
      <c r="U104" s="669" t="e">
        <f t="shared" si="45"/>
        <v>#REF!</v>
      </c>
      <c r="V104" s="670" t="e">
        <f t="shared" si="46"/>
        <v>#REF!</v>
      </c>
      <c r="AF104" s="650"/>
      <c r="AG104" s="650"/>
    </row>
    <row r="105" spans="3:33" ht="18.95" customHeight="1">
      <c r="C105" s="1404"/>
      <c r="D105" s="1406" t="s">
        <v>596</v>
      </c>
      <c r="E105" s="720" t="s">
        <v>162</v>
      </c>
      <c r="F105" s="721" t="e">
        <f>[18]MANPOWER!Z40</f>
        <v>#REF!</v>
      </c>
      <c r="G105" s="721" t="e">
        <f>[18]MANPOWER!S51</f>
        <v>#REF!</v>
      </c>
      <c r="H105" s="694" t="e">
        <f t="shared" si="14"/>
        <v>#REF!</v>
      </c>
      <c r="I105" s="695" t="e">
        <f t="shared" si="36"/>
        <v>#REF!</v>
      </c>
      <c r="J105" s="717"/>
      <c r="K105" s="615"/>
      <c r="L105" s="615">
        <f t="shared" si="37"/>
        <v>12</v>
      </c>
      <c r="M105" s="542">
        <f t="shared" si="38"/>
        <v>0</v>
      </c>
      <c r="N105" s="642" t="e">
        <f t="shared" si="39"/>
        <v>#REF!</v>
      </c>
      <c r="O105" s="542" t="e">
        <f t="shared" si="40"/>
        <v>#REF!</v>
      </c>
      <c r="Q105" s="699" t="e">
        <f t="shared" si="41"/>
        <v>#REF!</v>
      </c>
      <c r="R105" s="700" t="e">
        <f t="shared" si="42"/>
        <v>#REF!</v>
      </c>
      <c r="S105" s="700" t="e">
        <f t="shared" si="43"/>
        <v>#REF!</v>
      </c>
      <c r="T105" s="700" t="e">
        <f t="shared" si="44"/>
        <v>#REF!</v>
      </c>
      <c r="U105" s="700" t="e">
        <f t="shared" si="45"/>
        <v>#REF!</v>
      </c>
      <c r="V105" s="701" t="e">
        <f t="shared" si="46"/>
        <v>#REF!</v>
      </c>
      <c r="AF105" s="650"/>
      <c r="AG105" s="650"/>
    </row>
    <row r="106" spans="3:33" ht="18.95" customHeight="1">
      <c r="C106" s="1404"/>
      <c r="D106" s="1407"/>
      <c r="E106" s="722" t="s">
        <v>163</v>
      </c>
      <c r="F106" s="721" t="e">
        <f>[18]MANPOWER!Z41</f>
        <v>#REF!</v>
      </c>
      <c r="G106" s="721" t="e">
        <f>[18]MANPOWER!S52</f>
        <v>#REF!</v>
      </c>
      <c r="H106" s="538" t="e">
        <f>IF(F106=0,0,$H$3)</f>
        <v>#REF!</v>
      </c>
      <c r="I106" s="663" t="e">
        <f t="shared" si="36"/>
        <v>#REF!</v>
      </c>
      <c r="J106" s="641"/>
      <c r="K106" s="615"/>
      <c r="L106" s="615">
        <f t="shared" si="37"/>
        <v>12</v>
      </c>
      <c r="M106" s="542">
        <f t="shared" si="38"/>
        <v>0</v>
      </c>
      <c r="N106" s="642" t="e">
        <f t="shared" si="39"/>
        <v>#REF!</v>
      </c>
      <c r="O106" s="542" t="e">
        <f t="shared" si="40"/>
        <v>#REF!</v>
      </c>
      <c r="Q106" s="647" t="e">
        <f t="shared" si="41"/>
        <v>#REF!</v>
      </c>
      <c r="R106" s="648" t="e">
        <f t="shared" si="42"/>
        <v>#REF!</v>
      </c>
      <c r="S106" s="648" t="e">
        <f t="shared" si="43"/>
        <v>#REF!</v>
      </c>
      <c r="T106" s="648" t="e">
        <f t="shared" si="44"/>
        <v>#REF!</v>
      </c>
      <c r="U106" s="648" t="e">
        <f t="shared" si="45"/>
        <v>#REF!</v>
      </c>
      <c r="V106" s="649" t="e">
        <f t="shared" si="46"/>
        <v>#REF!</v>
      </c>
      <c r="AF106" s="682"/>
      <c r="AG106" s="682"/>
    </row>
    <row r="107" spans="3:33" ht="18.95" customHeight="1">
      <c r="C107" s="1404"/>
      <c r="D107" s="1407"/>
      <c r="E107" s="722" t="s">
        <v>530</v>
      </c>
      <c r="F107" s="721" t="e">
        <f>[18]MANPOWER!Z42</f>
        <v>#REF!</v>
      </c>
      <c r="G107" s="721"/>
      <c r="H107" s="538" t="e">
        <f t="shared" si="14"/>
        <v>#REF!</v>
      </c>
      <c r="I107" s="663" t="e">
        <f t="shared" si="36"/>
        <v>#REF!</v>
      </c>
      <c r="J107" s="641"/>
      <c r="K107" s="615"/>
      <c r="L107" s="615">
        <f t="shared" si="37"/>
        <v>12</v>
      </c>
      <c r="M107" s="542">
        <f t="shared" si="38"/>
        <v>0</v>
      </c>
      <c r="N107" s="642" t="e">
        <f t="shared" si="39"/>
        <v>#REF!</v>
      </c>
      <c r="O107" s="542" t="e">
        <f t="shared" si="40"/>
        <v>#REF!</v>
      </c>
      <c r="Q107" s="647">
        <f t="shared" si="41"/>
        <v>0</v>
      </c>
      <c r="R107" s="648">
        <f t="shared" si="42"/>
        <v>0</v>
      </c>
      <c r="S107" s="648">
        <f t="shared" si="43"/>
        <v>0</v>
      </c>
      <c r="T107" s="648">
        <f t="shared" si="44"/>
        <v>0</v>
      </c>
      <c r="U107" s="648">
        <f t="shared" si="45"/>
        <v>0</v>
      </c>
      <c r="V107" s="649">
        <f t="shared" si="46"/>
        <v>0</v>
      </c>
      <c r="AF107" s="650"/>
      <c r="AG107" s="650"/>
    </row>
    <row r="108" spans="3:33" ht="18.95" customHeight="1">
      <c r="C108" s="1404"/>
      <c r="D108" s="1407"/>
      <c r="E108" s="722" t="s">
        <v>541</v>
      </c>
      <c r="F108" s="721"/>
      <c r="G108" s="721"/>
      <c r="H108" s="538">
        <f t="shared" si="14"/>
        <v>0</v>
      </c>
      <c r="I108" s="663">
        <f t="shared" si="36"/>
        <v>0</v>
      </c>
      <c r="J108" s="641"/>
      <c r="K108" s="615"/>
      <c r="L108" s="615">
        <f t="shared" si="37"/>
        <v>12</v>
      </c>
      <c r="M108" s="542">
        <f t="shared" si="38"/>
        <v>0</v>
      </c>
      <c r="N108" s="642">
        <f t="shared" si="39"/>
        <v>0</v>
      </c>
      <c r="O108" s="542">
        <f t="shared" si="40"/>
        <v>0</v>
      </c>
      <c r="Q108" s="647">
        <f t="shared" si="41"/>
        <v>0</v>
      </c>
      <c r="R108" s="648">
        <f t="shared" si="42"/>
        <v>0</v>
      </c>
      <c r="S108" s="648">
        <f t="shared" si="43"/>
        <v>0</v>
      </c>
      <c r="T108" s="648">
        <f t="shared" si="44"/>
        <v>0</v>
      </c>
      <c r="U108" s="648">
        <f t="shared" si="45"/>
        <v>0</v>
      </c>
      <c r="V108" s="649">
        <f t="shared" si="46"/>
        <v>0</v>
      </c>
      <c r="AF108" s="650"/>
      <c r="AG108" s="650"/>
    </row>
    <row r="109" spans="3:33" ht="18.95" customHeight="1">
      <c r="C109" s="1404"/>
      <c r="D109" s="1407"/>
      <c r="E109" s="722" t="s">
        <v>532</v>
      </c>
      <c r="F109" s="721"/>
      <c r="G109" s="721"/>
      <c r="H109" s="538"/>
      <c r="I109" s="663"/>
      <c r="J109" s="641"/>
      <c r="K109" s="615"/>
      <c r="L109" s="615"/>
      <c r="M109" s="542">
        <f t="shared" si="38"/>
        <v>0</v>
      </c>
      <c r="N109" s="642">
        <f t="shared" si="39"/>
        <v>0</v>
      </c>
      <c r="O109" s="542">
        <f t="shared" si="40"/>
        <v>0</v>
      </c>
      <c r="Q109" s="647">
        <f t="shared" si="41"/>
        <v>0</v>
      </c>
      <c r="R109" s="648">
        <f t="shared" si="42"/>
        <v>0</v>
      </c>
      <c r="S109" s="648">
        <f t="shared" si="43"/>
        <v>0</v>
      </c>
      <c r="T109" s="648">
        <f t="shared" si="44"/>
        <v>0</v>
      </c>
      <c r="U109" s="648">
        <f t="shared" si="45"/>
        <v>0</v>
      </c>
      <c r="V109" s="649">
        <f t="shared" si="46"/>
        <v>0</v>
      </c>
      <c r="AF109" s="650"/>
      <c r="AG109" s="650"/>
    </row>
    <row r="110" spans="3:33" ht="18.95" customHeight="1">
      <c r="C110" s="1404"/>
      <c r="D110" s="1407"/>
      <c r="E110" s="722" t="s">
        <v>533</v>
      </c>
      <c r="F110" s="721"/>
      <c r="G110" s="721"/>
      <c r="H110" s="538">
        <f>IF(F110=0,0,$H$3)</f>
        <v>0</v>
      </c>
      <c r="I110" s="663">
        <f t="shared" si="36"/>
        <v>0</v>
      </c>
      <c r="J110" s="696"/>
      <c r="K110" s="697"/>
      <c r="L110" s="697"/>
      <c r="M110" s="698"/>
      <c r="N110" s="637"/>
      <c r="O110" s="698"/>
      <c r="Q110" s="647">
        <f t="shared" si="41"/>
        <v>0</v>
      </c>
      <c r="R110" s="648">
        <f t="shared" si="42"/>
        <v>0</v>
      </c>
      <c r="S110" s="648">
        <f t="shared" si="43"/>
        <v>0</v>
      </c>
      <c r="T110" s="648">
        <f t="shared" si="44"/>
        <v>0</v>
      </c>
      <c r="U110" s="648">
        <f t="shared" si="45"/>
        <v>0</v>
      </c>
      <c r="V110" s="649">
        <f t="shared" si="46"/>
        <v>0</v>
      </c>
      <c r="AF110" s="650"/>
      <c r="AG110" s="650"/>
    </row>
    <row r="111" spans="3:33" ht="18.95" customHeight="1">
      <c r="C111" s="1404"/>
      <c r="D111" s="1407"/>
      <c r="E111" s="722" t="s">
        <v>626</v>
      </c>
      <c r="F111" s="721"/>
      <c r="G111" s="721"/>
      <c r="H111" s="538"/>
      <c r="I111" s="663"/>
      <c r="J111" s="696"/>
      <c r="K111" s="697"/>
      <c r="L111" s="697"/>
      <c r="M111" s="698"/>
      <c r="N111" s="637"/>
      <c r="O111" s="698"/>
      <c r="Q111" s="647">
        <f t="shared" si="41"/>
        <v>0</v>
      </c>
      <c r="R111" s="648">
        <f t="shared" si="42"/>
        <v>0</v>
      </c>
      <c r="S111" s="648">
        <f t="shared" si="43"/>
        <v>0</v>
      </c>
      <c r="T111" s="648">
        <f t="shared" si="44"/>
        <v>0</v>
      </c>
      <c r="U111" s="648">
        <f t="shared" si="45"/>
        <v>0</v>
      </c>
      <c r="V111" s="649">
        <f t="shared" si="46"/>
        <v>0</v>
      </c>
      <c r="AF111" s="650"/>
      <c r="AG111" s="650"/>
    </row>
    <row r="112" spans="3:33" ht="18.95" customHeight="1" thickBot="1">
      <c r="C112" s="1405"/>
      <c r="D112" s="1408"/>
      <c r="E112" s="723" t="s">
        <v>165</v>
      </c>
      <c r="F112" s="721"/>
      <c r="G112" s="721"/>
      <c r="H112" s="538">
        <f>IF(F112=0,0,$H$3)</f>
        <v>0</v>
      </c>
      <c r="I112" s="692">
        <f t="shared" si="36"/>
        <v>0</v>
      </c>
      <c r="J112" s="696"/>
      <c r="K112" s="697"/>
      <c r="L112" s="697"/>
      <c r="M112" s="698"/>
      <c r="N112" s="637"/>
      <c r="O112" s="698"/>
      <c r="Q112" s="668">
        <f t="shared" si="41"/>
        <v>0</v>
      </c>
      <c r="R112" s="669">
        <f t="shared" si="42"/>
        <v>0</v>
      </c>
      <c r="S112" s="669">
        <f t="shared" si="43"/>
        <v>0</v>
      </c>
      <c r="T112" s="669">
        <f t="shared" si="44"/>
        <v>0</v>
      </c>
      <c r="U112" s="669">
        <f t="shared" si="45"/>
        <v>0</v>
      </c>
      <c r="V112" s="670">
        <f t="shared" si="46"/>
        <v>0</v>
      </c>
      <c r="AF112" s="650"/>
      <c r="AG112" s="650"/>
    </row>
    <row r="113" spans="3:33" ht="16.5" thickBot="1">
      <c r="C113" s="706"/>
      <c r="D113" s="625"/>
      <c r="E113" s="671" t="s">
        <v>120</v>
      </c>
      <c r="F113" s="672"/>
      <c r="G113" s="724"/>
      <c r="H113" s="674"/>
      <c r="I113" s="725" t="e">
        <f>SUM(I97:I112)</f>
        <v>#REF!</v>
      </c>
      <c r="J113" s="709"/>
      <c r="K113" s="711"/>
      <c r="L113" s="711"/>
      <c r="M113" s="713"/>
      <c r="N113" s="714"/>
      <c r="O113" s="713"/>
      <c r="Q113" s="680" t="e">
        <f t="shared" ref="Q113:V113" si="47">SUM(Q97:Q112)</f>
        <v>#REF!</v>
      </c>
      <c r="R113" s="680" t="e">
        <f t="shared" si="47"/>
        <v>#REF!</v>
      </c>
      <c r="S113" s="680" t="e">
        <f t="shared" si="47"/>
        <v>#REF!</v>
      </c>
      <c r="T113" s="680" t="e">
        <f t="shared" si="47"/>
        <v>#REF!</v>
      </c>
      <c r="U113" s="680" t="e">
        <f t="shared" si="47"/>
        <v>#REF!</v>
      </c>
      <c r="V113" s="680" t="e">
        <f t="shared" si="47"/>
        <v>#REF!</v>
      </c>
      <c r="AF113" s="650"/>
      <c r="AG113" s="650"/>
    </row>
    <row r="114" spans="3:33" ht="19.5" customHeight="1">
      <c r="C114" s="1403" t="s">
        <v>559</v>
      </c>
      <c r="D114" s="1423" t="s">
        <v>597</v>
      </c>
      <c r="E114" s="715" t="s">
        <v>536</v>
      </c>
      <c r="F114" s="684">
        <f>MANPOWER!Y49</f>
        <v>15</v>
      </c>
      <c r="G114" s="521"/>
      <c r="H114" s="522"/>
      <c r="I114" s="660">
        <f t="shared" ref="I114:I130" si="48">F114*G114*H114</f>
        <v>0</v>
      </c>
      <c r="J114" s="641"/>
      <c r="K114" s="615"/>
      <c r="L114" s="615"/>
      <c r="M114" s="542">
        <f t="shared" ref="M114:M130" si="49">J114*K114*L114</f>
        <v>0</v>
      </c>
      <c r="N114" s="642">
        <f t="shared" ref="N114:N130" si="50">IF(I114&gt;M114,I114-M114,0)</f>
        <v>0</v>
      </c>
      <c r="O114" s="542">
        <f t="shared" ref="O114:O130" si="51">IF(I114&lt;M114,I114-M114,0)</f>
        <v>0</v>
      </c>
      <c r="Q114" s="643">
        <f t="shared" ref="Q114:Q130" si="52">G114</f>
        <v>0</v>
      </c>
      <c r="R114" s="644">
        <f t="shared" ref="R114:R130" si="53">G114</f>
        <v>0</v>
      </c>
      <c r="S114" s="644">
        <f t="shared" ref="S114:S130" si="54">G114</f>
        <v>0</v>
      </c>
      <c r="T114" s="644">
        <f t="shared" ref="T114:T130" si="55">G114</f>
        <v>0</v>
      </c>
      <c r="U114" s="644">
        <f t="shared" ref="U114:U130" si="56">G114</f>
        <v>0</v>
      </c>
      <c r="V114" s="645">
        <f t="shared" ref="V114:V130" si="57">G114</f>
        <v>0</v>
      </c>
    </row>
    <row r="115" spans="3:33" ht="19.5" customHeight="1">
      <c r="C115" s="1404"/>
      <c r="D115" s="1424"/>
      <c r="E115" s="726" t="s">
        <v>545</v>
      </c>
      <c r="F115" s="613">
        <f>MANPOWER!Y50</f>
        <v>10</v>
      </c>
      <c r="G115" s="537"/>
      <c r="H115" s="538"/>
      <c r="I115" s="663">
        <f t="shared" si="48"/>
        <v>0</v>
      </c>
      <c r="J115" s="641"/>
      <c r="K115" s="615"/>
      <c r="L115" s="615"/>
      <c r="M115" s="542">
        <f t="shared" si="49"/>
        <v>0</v>
      </c>
      <c r="N115" s="642">
        <f t="shared" si="50"/>
        <v>0</v>
      </c>
      <c r="O115" s="542">
        <f t="shared" si="51"/>
        <v>0</v>
      </c>
      <c r="Q115" s="647">
        <f t="shared" si="52"/>
        <v>0</v>
      </c>
      <c r="R115" s="648">
        <f t="shared" si="53"/>
        <v>0</v>
      </c>
      <c r="S115" s="648">
        <f t="shared" si="54"/>
        <v>0</v>
      </c>
      <c r="T115" s="648">
        <f t="shared" si="55"/>
        <v>0</v>
      </c>
      <c r="U115" s="648">
        <f t="shared" si="56"/>
        <v>0</v>
      </c>
      <c r="V115" s="649">
        <f t="shared" si="57"/>
        <v>0</v>
      </c>
    </row>
    <row r="116" spans="3:33" ht="19.5" customHeight="1">
      <c r="C116" s="1404"/>
      <c r="D116" s="1424"/>
      <c r="E116" s="726" t="s">
        <v>598</v>
      </c>
      <c r="F116" s="613">
        <f>MANPOWER!Y51</f>
        <v>10</v>
      </c>
      <c r="G116" s="537"/>
      <c r="H116" s="538"/>
      <c r="I116" s="663">
        <f t="shared" si="48"/>
        <v>0</v>
      </c>
      <c r="J116" s="641"/>
      <c r="K116" s="615"/>
      <c r="L116" s="615"/>
      <c r="M116" s="542">
        <f t="shared" si="49"/>
        <v>0</v>
      </c>
      <c r="N116" s="642">
        <f t="shared" si="50"/>
        <v>0</v>
      </c>
      <c r="O116" s="542">
        <f t="shared" si="51"/>
        <v>0</v>
      </c>
      <c r="Q116" s="647">
        <f t="shared" si="52"/>
        <v>0</v>
      </c>
      <c r="R116" s="648">
        <f t="shared" si="53"/>
        <v>0</v>
      </c>
      <c r="S116" s="648">
        <f t="shared" si="54"/>
        <v>0</v>
      </c>
      <c r="T116" s="648">
        <f t="shared" si="55"/>
        <v>0</v>
      </c>
      <c r="U116" s="648">
        <f t="shared" si="56"/>
        <v>0</v>
      </c>
      <c r="V116" s="649">
        <f t="shared" si="57"/>
        <v>0</v>
      </c>
    </row>
    <row r="117" spans="3:33" ht="19.5" customHeight="1">
      <c r="C117" s="1404"/>
      <c r="D117" s="1424"/>
      <c r="E117" s="726" t="s">
        <v>539</v>
      </c>
      <c r="F117" s="613">
        <f>MANPOWER!Y52</f>
        <v>0</v>
      </c>
      <c r="G117" s="537"/>
      <c r="H117" s="538"/>
      <c r="I117" s="663">
        <f t="shared" si="48"/>
        <v>0</v>
      </c>
      <c r="J117" s="641"/>
      <c r="K117" s="615"/>
      <c r="L117" s="615"/>
      <c r="M117" s="542">
        <f t="shared" si="49"/>
        <v>0</v>
      </c>
      <c r="N117" s="642">
        <f t="shared" si="50"/>
        <v>0</v>
      </c>
      <c r="O117" s="542">
        <f t="shared" si="51"/>
        <v>0</v>
      </c>
      <c r="Q117" s="647">
        <f t="shared" si="52"/>
        <v>0</v>
      </c>
      <c r="R117" s="648">
        <f t="shared" si="53"/>
        <v>0</v>
      </c>
      <c r="S117" s="648">
        <f t="shared" si="54"/>
        <v>0</v>
      </c>
      <c r="T117" s="648">
        <f t="shared" si="55"/>
        <v>0</v>
      </c>
      <c r="U117" s="648">
        <f t="shared" si="56"/>
        <v>0</v>
      </c>
      <c r="V117" s="649">
        <f t="shared" si="57"/>
        <v>0</v>
      </c>
      <c r="W117" s="727">
        <v>4</v>
      </c>
    </row>
    <row r="118" spans="3:33" ht="19.5" customHeight="1" thickBot="1">
      <c r="C118" s="1404"/>
      <c r="D118" s="1425"/>
      <c r="E118" s="728" t="s">
        <v>540</v>
      </c>
      <c r="F118" s="691"/>
      <c r="G118" s="576"/>
      <c r="H118" s="577"/>
      <c r="I118" s="692">
        <f t="shared" si="48"/>
        <v>0</v>
      </c>
      <c r="J118" s="641"/>
      <c r="K118" s="615"/>
      <c r="L118" s="615"/>
      <c r="M118" s="542">
        <f t="shared" si="49"/>
        <v>0</v>
      </c>
      <c r="N118" s="642">
        <f t="shared" si="50"/>
        <v>0</v>
      </c>
      <c r="O118" s="542">
        <f t="shared" si="51"/>
        <v>0</v>
      </c>
      <c r="Q118" s="668">
        <f t="shared" si="52"/>
        <v>0</v>
      </c>
      <c r="R118" s="669">
        <f t="shared" si="53"/>
        <v>0</v>
      </c>
      <c r="S118" s="669">
        <f t="shared" si="54"/>
        <v>0</v>
      </c>
      <c r="T118" s="669">
        <f t="shared" si="55"/>
        <v>0</v>
      </c>
      <c r="U118" s="669">
        <f t="shared" si="56"/>
        <v>0</v>
      </c>
      <c r="V118" s="670">
        <f t="shared" si="57"/>
        <v>0</v>
      </c>
    </row>
    <row r="119" spans="3:33" ht="19.5" customHeight="1" thickBot="1">
      <c r="C119" s="1404"/>
      <c r="D119" s="729"/>
      <c r="E119" s="730"/>
      <c r="F119" s="731"/>
      <c r="G119" s="732"/>
      <c r="H119" s="733"/>
      <c r="I119" s="734"/>
      <c r="J119" s="641"/>
      <c r="K119" s="615"/>
      <c r="L119" s="615"/>
      <c r="M119" s="542"/>
      <c r="N119" s="642"/>
      <c r="O119" s="542"/>
      <c r="Q119" s="735"/>
      <c r="R119" s="736"/>
      <c r="S119" s="736"/>
      <c r="T119" s="736"/>
      <c r="U119" s="736"/>
      <c r="V119" s="737"/>
    </row>
    <row r="120" spans="3:33" ht="15.75" customHeight="1">
      <c r="C120" s="1404"/>
      <c r="D120" s="1416" t="s">
        <v>599</v>
      </c>
      <c r="E120" s="683" t="s">
        <v>536</v>
      </c>
      <c r="F120" s="659"/>
      <c r="G120" s="521"/>
      <c r="H120" s="522"/>
      <c r="I120" s="660"/>
      <c r="J120" s="641"/>
      <c r="K120" s="615"/>
      <c r="L120" s="615"/>
      <c r="M120" s="542">
        <f>J120*K120*L120</f>
        <v>0</v>
      </c>
      <c r="N120" s="642">
        <f>IF(I120&gt;M120,I120-M120,0)</f>
        <v>0</v>
      </c>
      <c r="O120" s="542">
        <f>IF(I120&lt;M120,I120-M120,0)</f>
        <v>0</v>
      </c>
      <c r="Q120" s="643">
        <f>G120</f>
        <v>0</v>
      </c>
      <c r="R120" s="644">
        <f>G120</f>
        <v>0</v>
      </c>
      <c r="S120" s="644">
        <f>G120</f>
        <v>0</v>
      </c>
      <c r="T120" s="644">
        <f>G120</f>
        <v>0</v>
      </c>
      <c r="U120" s="644">
        <f>G120</f>
        <v>0</v>
      </c>
      <c r="V120" s="645">
        <f>G120</f>
        <v>0</v>
      </c>
    </row>
    <row r="121" spans="3:33" ht="15.75" customHeight="1">
      <c r="C121" s="1404"/>
      <c r="D121" s="1417"/>
      <c r="E121" s="689" t="s">
        <v>545</v>
      </c>
      <c r="F121" s="703"/>
      <c r="G121" s="537"/>
      <c r="H121" s="538"/>
      <c r="I121" s="663"/>
      <c r="J121" s="641"/>
      <c r="K121" s="615"/>
      <c r="L121" s="615"/>
      <c r="M121" s="542">
        <f>J121*K121*L121</f>
        <v>0</v>
      </c>
      <c r="N121" s="642">
        <f>IF(I121&gt;M121,I121-M121,0)</f>
        <v>0</v>
      </c>
      <c r="O121" s="542">
        <f>IF(I121&lt;M121,I121-M121,0)</f>
        <v>0</v>
      </c>
      <c r="Q121" s="647">
        <f>G121</f>
        <v>0</v>
      </c>
      <c r="R121" s="648">
        <f>G121</f>
        <v>0</v>
      </c>
      <c r="S121" s="648">
        <f>G121</f>
        <v>0</v>
      </c>
      <c r="T121" s="648">
        <f>G121</f>
        <v>0</v>
      </c>
      <c r="U121" s="648">
        <f>G121</f>
        <v>0</v>
      </c>
      <c r="V121" s="649">
        <f>G121</f>
        <v>0</v>
      </c>
    </row>
    <row r="122" spans="3:33" ht="15.75">
      <c r="C122" s="1404"/>
      <c r="D122" s="1417"/>
      <c r="E122" s="689" t="s">
        <v>598</v>
      </c>
      <c r="F122" s="703" t="e">
        <f>[18]MANPOWER!Y57</f>
        <v>#REF!</v>
      </c>
      <c r="G122" s="537"/>
      <c r="H122" s="538" t="e">
        <f>IF(F122=0,0,$H$3)</f>
        <v>#REF!</v>
      </c>
      <c r="I122" s="663" t="e">
        <f>F122*G122*H122</f>
        <v>#REF!</v>
      </c>
      <c r="J122" s="641"/>
      <c r="K122" s="615"/>
      <c r="L122" s="615"/>
      <c r="M122" s="542">
        <f>J122*K122*L122</f>
        <v>0</v>
      </c>
      <c r="N122" s="642" t="e">
        <f>IF(I122&gt;M122,I122-M122,0)</f>
        <v>#REF!</v>
      </c>
      <c r="O122" s="542" t="e">
        <f>IF(I122&lt;M122,I122-M122,0)</f>
        <v>#REF!</v>
      </c>
      <c r="Q122" s="647">
        <f>G122</f>
        <v>0</v>
      </c>
      <c r="R122" s="648">
        <f>G122</f>
        <v>0</v>
      </c>
      <c r="S122" s="648">
        <f>G122</f>
        <v>0</v>
      </c>
      <c r="T122" s="648">
        <f>G122</f>
        <v>0</v>
      </c>
      <c r="U122" s="648">
        <f>G122</f>
        <v>0</v>
      </c>
      <c r="V122" s="649">
        <f>G122</f>
        <v>0</v>
      </c>
    </row>
    <row r="123" spans="3:33" ht="15.75" customHeight="1">
      <c r="C123" s="1404"/>
      <c r="D123" s="1417"/>
      <c r="E123" s="689" t="s">
        <v>539</v>
      </c>
      <c r="F123" s="703" t="e">
        <f>[18]MANPOWER!Y58</f>
        <v>#REF!</v>
      </c>
      <c r="G123" s="537" t="e">
        <f>[18]MANPOWER!H72</f>
        <v>#REF!</v>
      </c>
      <c r="H123" s="538" t="e">
        <f>IF(F123=0,0,$H$3)</f>
        <v>#REF!</v>
      </c>
      <c r="I123" s="663" t="e">
        <f>F123*G123*H123</f>
        <v>#REF!</v>
      </c>
      <c r="J123" s="641"/>
      <c r="K123" s="615"/>
      <c r="L123" s="615"/>
      <c r="M123" s="542">
        <f>J123*K123*L123</f>
        <v>0</v>
      </c>
      <c r="N123" s="642" t="e">
        <f>IF(I123&gt;M123,I123-M123,0)</f>
        <v>#REF!</v>
      </c>
      <c r="O123" s="542" t="e">
        <f>IF(I123&lt;M123,I123-M123,0)</f>
        <v>#REF!</v>
      </c>
      <c r="Q123" s="647" t="e">
        <f>G123</f>
        <v>#REF!</v>
      </c>
      <c r="R123" s="648" t="e">
        <f>G123</f>
        <v>#REF!</v>
      </c>
      <c r="S123" s="648" t="e">
        <f>G123</f>
        <v>#REF!</v>
      </c>
      <c r="T123" s="648" t="e">
        <f>G123</f>
        <v>#REF!</v>
      </c>
      <c r="U123" s="648" t="e">
        <f>G123</f>
        <v>#REF!</v>
      </c>
      <c r="V123" s="649" t="e">
        <f>G123</f>
        <v>#REF!</v>
      </c>
    </row>
    <row r="124" spans="3:33" ht="16.5" thickBot="1">
      <c r="C124" s="1404"/>
      <c r="D124" s="1418"/>
      <c r="E124" s="690" t="s">
        <v>540</v>
      </c>
      <c r="F124" s="705">
        <f>MANPOWER!Y53</f>
        <v>0</v>
      </c>
      <c r="G124" s="576"/>
      <c r="H124" s="577">
        <f>IF(F124=0,0,$H$3)</f>
        <v>0</v>
      </c>
      <c r="I124" s="692">
        <f>F124*G124*H124</f>
        <v>0</v>
      </c>
      <c r="J124" s="641"/>
      <c r="K124" s="615"/>
      <c r="L124" s="615"/>
      <c r="M124" s="542">
        <f>J124*K124*L124</f>
        <v>0</v>
      </c>
      <c r="N124" s="642">
        <f>IF(I124&gt;M124,I124-M124,0)</f>
        <v>0</v>
      </c>
      <c r="O124" s="542">
        <f>IF(I124&lt;M124,I124-M124,0)</f>
        <v>0</v>
      </c>
      <c r="Q124" s="668">
        <f>G124</f>
        <v>0</v>
      </c>
      <c r="R124" s="669">
        <f>G124</f>
        <v>0</v>
      </c>
      <c r="S124" s="669">
        <f>G124</f>
        <v>0</v>
      </c>
      <c r="T124" s="669">
        <f>G124</f>
        <v>0</v>
      </c>
      <c r="U124" s="669">
        <f>G124</f>
        <v>0</v>
      </c>
      <c r="V124" s="670">
        <f>G124</f>
        <v>0</v>
      </c>
    </row>
    <row r="125" spans="3:33" ht="16.5" thickBot="1">
      <c r="C125" s="1404"/>
      <c r="D125" s="738"/>
      <c r="E125" s="708" t="s">
        <v>120</v>
      </c>
      <c r="F125" s="709"/>
      <c r="G125" s="739"/>
      <c r="H125" s="711"/>
      <c r="I125" s="712"/>
      <c r="J125" s="641"/>
      <c r="K125" s="615"/>
      <c r="L125" s="615"/>
      <c r="M125" s="542"/>
      <c r="N125" s="642"/>
      <c r="O125" s="542"/>
      <c r="Q125" s="735"/>
      <c r="R125" s="736"/>
      <c r="S125" s="736"/>
      <c r="T125" s="736"/>
      <c r="U125" s="736"/>
      <c r="V125" s="737"/>
    </row>
    <row r="126" spans="3:33" ht="21.75" customHeight="1">
      <c r="C126" s="1404"/>
      <c r="D126" s="1406" t="s">
        <v>600</v>
      </c>
      <c r="E126" s="740" t="s">
        <v>536</v>
      </c>
      <c r="F126" s="659" t="e">
        <f>[18]MANPOWER!Z49</f>
        <v>#REF!</v>
      </c>
      <c r="G126" s="659">
        <f>[18]MANPOWER!S64</f>
        <v>0</v>
      </c>
      <c r="H126" s="522" t="e">
        <f>IF(F126=0,0,$H$3)</f>
        <v>#REF!</v>
      </c>
      <c r="I126" s="660" t="e">
        <f t="shared" si="48"/>
        <v>#REF!</v>
      </c>
      <c r="J126" s="717"/>
      <c r="K126" s="615"/>
      <c r="L126" s="615"/>
      <c r="M126" s="542">
        <f t="shared" si="49"/>
        <v>0</v>
      </c>
      <c r="N126" s="642" t="e">
        <f t="shared" si="50"/>
        <v>#REF!</v>
      </c>
      <c r="O126" s="542" t="e">
        <f t="shared" si="51"/>
        <v>#REF!</v>
      </c>
      <c r="Q126" s="699">
        <f t="shared" si="52"/>
        <v>0</v>
      </c>
      <c r="R126" s="700">
        <f t="shared" si="53"/>
        <v>0</v>
      </c>
      <c r="S126" s="700">
        <f t="shared" si="54"/>
        <v>0</v>
      </c>
      <c r="T126" s="700">
        <f t="shared" si="55"/>
        <v>0</v>
      </c>
      <c r="U126" s="700">
        <f t="shared" si="56"/>
        <v>0</v>
      </c>
      <c r="V126" s="701">
        <f t="shared" si="57"/>
        <v>0</v>
      </c>
    </row>
    <row r="127" spans="3:33" ht="15.75">
      <c r="C127" s="1404"/>
      <c r="D127" s="1407"/>
      <c r="E127" s="722" t="s">
        <v>545</v>
      </c>
      <c r="F127" s="662" t="e">
        <f>[18]MANPOWER!Z50</f>
        <v>#REF!</v>
      </c>
      <c r="G127" s="662">
        <f>[18]MANPOWER!S65</f>
        <v>0</v>
      </c>
      <c r="H127" s="538" t="e">
        <f>IF(F127=0,0,$H$3)</f>
        <v>#REF!</v>
      </c>
      <c r="I127" s="663" t="e">
        <f t="shared" si="48"/>
        <v>#REF!</v>
      </c>
      <c r="J127" s="717"/>
      <c r="K127" s="615"/>
      <c r="L127" s="615"/>
      <c r="M127" s="542">
        <f t="shared" si="49"/>
        <v>0</v>
      </c>
      <c r="N127" s="642" t="e">
        <f t="shared" si="50"/>
        <v>#REF!</v>
      </c>
      <c r="O127" s="542" t="e">
        <f t="shared" si="51"/>
        <v>#REF!</v>
      </c>
      <c r="Q127" s="647">
        <f t="shared" si="52"/>
        <v>0</v>
      </c>
      <c r="R127" s="648">
        <f t="shared" si="53"/>
        <v>0</v>
      </c>
      <c r="S127" s="648">
        <f t="shared" si="54"/>
        <v>0</v>
      </c>
      <c r="T127" s="648">
        <f t="shared" si="55"/>
        <v>0</v>
      </c>
      <c r="U127" s="648">
        <f t="shared" si="56"/>
        <v>0</v>
      </c>
      <c r="V127" s="649">
        <f t="shared" si="57"/>
        <v>0</v>
      </c>
    </row>
    <row r="128" spans="3:33" ht="15.75">
      <c r="C128" s="1404"/>
      <c r="D128" s="1407"/>
      <c r="E128" s="722" t="s">
        <v>546</v>
      </c>
      <c r="F128" s="662" t="e">
        <f>[18]MANPOWER!Z51</f>
        <v>#REF!</v>
      </c>
      <c r="G128" s="662">
        <f>[18]MANPOWER!S66</f>
        <v>0</v>
      </c>
      <c r="H128" s="538" t="e">
        <f>IF(F128=0,0,$H$3)</f>
        <v>#REF!</v>
      </c>
      <c r="I128" s="663" t="e">
        <f t="shared" si="48"/>
        <v>#REF!</v>
      </c>
      <c r="J128" s="717"/>
      <c r="K128" s="615"/>
      <c r="L128" s="615"/>
      <c r="M128" s="542">
        <f t="shared" si="49"/>
        <v>0</v>
      </c>
      <c r="N128" s="642" t="e">
        <f t="shared" si="50"/>
        <v>#REF!</v>
      </c>
      <c r="O128" s="542" t="e">
        <f t="shared" si="51"/>
        <v>#REF!</v>
      </c>
      <c r="Q128" s="647">
        <f t="shared" si="52"/>
        <v>0</v>
      </c>
      <c r="R128" s="648">
        <f t="shared" si="53"/>
        <v>0</v>
      </c>
      <c r="S128" s="648">
        <f t="shared" si="54"/>
        <v>0</v>
      </c>
      <c r="T128" s="648">
        <f t="shared" si="55"/>
        <v>0</v>
      </c>
      <c r="U128" s="648">
        <f t="shared" si="56"/>
        <v>0</v>
      </c>
      <c r="V128" s="649">
        <f t="shared" si="57"/>
        <v>0</v>
      </c>
    </row>
    <row r="129" spans="3:22" ht="15.75">
      <c r="C129" s="1404"/>
      <c r="D129" s="1407"/>
      <c r="E129" s="722" t="s">
        <v>539</v>
      </c>
      <c r="F129" s="662" t="e">
        <f>[18]MANPOWER!Z52</f>
        <v>#REF!</v>
      </c>
      <c r="G129" s="662">
        <f>[18]MANPOWER!S67</f>
        <v>0</v>
      </c>
      <c r="H129" s="538" t="e">
        <f>IF(F129=0,0,$H$3)</f>
        <v>#REF!</v>
      </c>
      <c r="I129" s="663" t="e">
        <f t="shared" si="48"/>
        <v>#REF!</v>
      </c>
      <c r="J129" s="717"/>
      <c r="K129" s="615"/>
      <c r="L129" s="615"/>
      <c r="M129" s="542">
        <f t="shared" si="49"/>
        <v>0</v>
      </c>
      <c r="N129" s="642" t="e">
        <f t="shared" si="50"/>
        <v>#REF!</v>
      </c>
      <c r="O129" s="542" t="e">
        <f t="shared" si="51"/>
        <v>#REF!</v>
      </c>
      <c r="Q129" s="647">
        <f t="shared" si="52"/>
        <v>0</v>
      </c>
      <c r="R129" s="648">
        <f t="shared" si="53"/>
        <v>0</v>
      </c>
      <c r="S129" s="648">
        <f t="shared" si="54"/>
        <v>0</v>
      </c>
      <c r="T129" s="648">
        <f t="shared" si="55"/>
        <v>0</v>
      </c>
      <c r="U129" s="648">
        <f t="shared" si="56"/>
        <v>0</v>
      </c>
      <c r="V129" s="649">
        <f t="shared" si="57"/>
        <v>0</v>
      </c>
    </row>
    <row r="130" spans="3:22" ht="15.75" customHeight="1" thickBot="1">
      <c r="C130" s="1405"/>
      <c r="D130" s="1408"/>
      <c r="E130" s="723" t="s">
        <v>540</v>
      </c>
      <c r="F130" s="741">
        <v>5</v>
      </c>
      <c r="G130" s="741">
        <f>MANPOWER!S68</f>
        <v>414.88888888888891</v>
      </c>
      <c r="H130" s="577">
        <v>10</v>
      </c>
      <c r="I130" s="692">
        <f t="shared" si="48"/>
        <v>20744.444444444445</v>
      </c>
      <c r="J130" s="718"/>
      <c r="K130" s="623"/>
      <c r="L130" s="623"/>
      <c r="M130" s="719">
        <f t="shared" si="49"/>
        <v>0</v>
      </c>
      <c r="N130" s="642">
        <f t="shared" si="50"/>
        <v>20744.444444444445</v>
      </c>
      <c r="O130" s="542">
        <f t="shared" si="51"/>
        <v>0</v>
      </c>
      <c r="Q130" s="647">
        <f t="shared" si="52"/>
        <v>414.88888888888891</v>
      </c>
      <c r="R130" s="648">
        <f t="shared" si="53"/>
        <v>414.88888888888891</v>
      </c>
      <c r="S130" s="648">
        <f t="shared" si="54"/>
        <v>414.88888888888891</v>
      </c>
      <c r="T130" s="648">
        <f t="shared" si="55"/>
        <v>414.88888888888891</v>
      </c>
      <c r="U130" s="648">
        <f t="shared" si="56"/>
        <v>414.88888888888891</v>
      </c>
      <c r="V130" s="649">
        <f t="shared" si="57"/>
        <v>414.88888888888891</v>
      </c>
    </row>
    <row r="131" spans="3:22" ht="16.5" thickBot="1">
      <c r="C131" s="706"/>
      <c r="E131" s="708" t="s">
        <v>120</v>
      </c>
      <c r="F131" s="709"/>
      <c r="G131" s="739"/>
      <c r="H131" s="711"/>
      <c r="I131" s="712" t="e">
        <f>SUM(I114:I130)</f>
        <v>#REF!</v>
      </c>
      <c r="J131" s="742"/>
      <c r="K131" s="677"/>
      <c r="L131" s="677"/>
      <c r="M131" s="678">
        <f>SUM(M114:M130)</f>
        <v>0</v>
      </c>
      <c r="N131" s="743" t="e">
        <f>SUM(N114:N130)</f>
        <v>#REF!</v>
      </c>
      <c r="O131" s="678" t="e">
        <f>SUM(O114:O130)</f>
        <v>#REF!</v>
      </c>
      <c r="Q131" s="744" t="e">
        <f t="shared" ref="Q131:V131" si="58">SUM(Q114:Q130)</f>
        <v>#REF!</v>
      </c>
      <c r="R131" s="745" t="e">
        <f t="shared" si="58"/>
        <v>#REF!</v>
      </c>
      <c r="S131" s="745" t="e">
        <f t="shared" si="58"/>
        <v>#REF!</v>
      </c>
      <c r="T131" s="745" t="e">
        <f t="shared" si="58"/>
        <v>#REF!</v>
      </c>
      <c r="U131" s="745" t="e">
        <f t="shared" si="58"/>
        <v>#REF!</v>
      </c>
      <c r="V131" s="746" t="e">
        <f t="shared" si="58"/>
        <v>#REF!</v>
      </c>
    </row>
    <row r="132" spans="3:22" ht="16.5" thickBot="1">
      <c r="C132" s="706"/>
      <c r="E132" s="588" t="s">
        <v>110</v>
      </c>
      <c r="F132" s="589"/>
      <c r="G132" s="747"/>
      <c r="H132" s="591"/>
      <c r="I132" s="748" t="e">
        <f>I67+I96+I88+I113+I131</f>
        <v>#REF!</v>
      </c>
      <c r="J132" s="589"/>
      <c r="K132" s="591"/>
      <c r="L132" s="591"/>
      <c r="M132" s="749" t="e">
        <f>M131+#REF!+#REF!+M67</f>
        <v>#REF!</v>
      </c>
      <c r="N132" s="750" t="e">
        <f>N131+#REF!+#REF!+#REF!+N67</f>
        <v>#REF!</v>
      </c>
      <c r="O132" s="751" t="e">
        <f>O67+O131+#REF!</f>
        <v>#REF!</v>
      </c>
      <c r="Q132" s="752" t="e">
        <f t="shared" ref="Q132:V132" si="59">Q67+Q88+Q113+Q131</f>
        <v>#REF!</v>
      </c>
      <c r="R132" s="752" t="e">
        <f t="shared" si="59"/>
        <v>#REF!</v>
      </c>
      <c r="S132" s="752" t="e">
        <f t="shared" si="59"/>
        <v>#REF!</v>
      </c>
      <c r="T132" s="752" t="e">
        <f t="shared" si="59"/>
        <v>#REF!</v>
      </c>
      <c r="U132" s="752" t="e">
        <f t="shared" si="59"/>
        <v>#REF!</v>
      </c>
      <c r="V132" s="752" t="e">
        <f t="shared" si="59"/>
        <v>#REF!</v>
      </c>
    </row>
    <row r="133" spans="3:22" ht="13.5" thickBot="1">
      <c r="C133" s="706"/>
      <c r="E133" s="602"/>
      <c r="F133" s="603"/>
      <c r="G133" s="604"/>
      <c r="H133" s="603"/>
      <c r="I133" s="604"/>
      <c r="J133" s="603"/>
      <c r="K133" s="603"/>
      <c r="L133" s="603"/>
      <c r="M133" s="603"/>
      <c r="N133" s="605"/>
      <c r="O133" s="753" t="e">
        <f>N132+O132</f>
        <v>#REF!</v>
      </c>
      <c r="Q133" s="552"/>
      <c r="R133" s="552"/>
      <c r="S133" s="552"/>
      <c r="T133" s="552"/>
      <c r="U133" s="552"/>
      <c r="V133" s="552"/>
    </row>
    <row r="134" spans="3:22" ht="13.5" thickBot="1">
      <c r="C134" s="706"/>
      <c r="E134" s="602"/>
      <c r="F134" s="603"/>
      <c r="G134" s="604"/>
      <c r="H134" s="603"/>
      <c r="I134" s="604"/>
      <c r="J134" s="603"/>
      <c r="K134" s="603"/>
      <c r="L134" s="603"/>
      <c r="M134" s="603"/>
      <c r="N134" s="605"/>
      <c r="O134" s="754"/>
      <c r="Q134" s="552"/>
      <c r="R134" s="552"/>
      <c r="S134" s="552"/>
      <c r="T134" s="552"/>
      <c r="U134" s="552"/>
      <c r="V134" s="552"/>
    </row>
    <row r="135" spans="3:22" ht="13.5" thickBot="1">
      <c r="C135" s="706"/>
      <c r="E135" s="602"/>
      <c r="F135" s="603"/>
      <c r="G135" s="604"/>
      <c r="H135" s="603"/>
      <c r="I135" s="604"/>
      <c r="J135" s="603"/>
      <c r="K135" s="603"/>
      <c r="L135" s="603"/>
      <c r="M135" s="603"/>
      <c r="N135" s="605"/>
      <c r="O135" s="753" t="e">
        <f>#REF!+#REF!</f>
        <v>#REF!</v>
      </c>
      <c r="Q135" s="755" t="s">
        <v>601</v>
      </c>
      <c r="R135" s="755"/>
      <c r="S135" s="756">
        <v>12</v>
      </c>
      <c r="T135" s="552"/>
      <c r="U135" s="757" t="s">
        <v>602</v>
      </c>
      <c r="V135" s="758"/>
    </row>
    <row r="136" spans="3:22" ht="13.5" thickBot="1">
      <c r="E136" s="602"/>
      <c r="F136" s="603"/>
      <c r="G136" s="604"/>
      <c r="H136" s="603"/>
      <c r="I136" s="604"/>
      <c r="J136" s="603"/>
      <c r="K136" s="603"/>
      <c r="L136" s="603"/>
      <c r="M136" s="603"/>
      <c r="N136" s="605"/>
      <c r="O136" s="759"/>
      <c r="Q136" s="552"/>
      <c r="R136" s="552"/>
      <c r="S136" s="552"/>
      <c r="T136" s="552"/>
      <c r="U136" s="552"/>
      <c r="V136" s="552"/>
    </row>
    <row r="137" spans="3:22" ht="13.5" thickBot="1">
      <c r="C137" s="491">
        <v>4</v>
      </c>
      <c r="E137" s="608"/>
      <c r="F137" s="1409" t="s">
        <v>276</v>
      </c>
      <c r="G137" s="1410"/>
      <c r="H137" s="1410"/>
      <c r="I137" s="1411"/>
      <c r="J137" s="1422" t="s">
        <v>277</v>
      </c>
      <c r="K137" s="1412"/>
      <c r="L137" s="1412"/>
      <c r="M137" s="1413"/>
      <c r="N137" s="1426" t="s">
        <v>103</v>
      </c>
      <c r="O137" s="1415"/>
      <c r="Q137" s="493"/>
      <c r="R137" s="494"/>
      <c r="S137" s="494" t="s">
        <v>547</v>
      </c>
      <c r="T137" s="494"/>
      <c r="U137" s="494"/>
      <c r="V137" s="495"/>
    </row>
    <row r="138" spans="3:22" ht="18.75" thickBot="1">
      <c r="E138" s="609" t="s">
        <v>167</v>
      </c>
      <c r="F138" s="638" t="s">
        <v>104</v>
      </c>
      <c r="G138" s="502" t="s">
        <v>105</v>
      </c>
      <c r="H138" s="611" t="s">
        <v>166</v>
      </c>
      <c r="I138" s="504" t="s">
        <v>280</v>
      </c>
      <c r="J138" s="760" t="s">
        <v>104</v>
      </c>
      <c r="K138" s="761" t="s">
        <v>105</v>
      </c>
      <c r="L138" s="762" t="s">
        <v>166</v>
      </c>
      <c r="M138" s="763" t="s">
        <v>107</v>
      </c>
      <c r="N138" s="612" t="s">
        <v>108</v>
      </c>
      <c r="O138" s="510" t="s">
        <v>109</v>
      </c>
      <c r="Q138" s="511" t="s">
        <v>552</v>
      </c>
      <c r="R138" s="512" t="s">
        <v>553</v>
      </c>
      <c r="S138" s="512" t="s">
        <v>554</v>
      </c>
      <c r="T138" s="512" t="s">
        <v>555</v>
      </c>
      <c r="U138" s="512" t="s">
        <v>556</v>
      </c>
      <c r="V138" s="513" t="s">
        <v>557</v>
      </c>
    </row>
    <row r="139" spans="3:22" ht="15.75">
      <c r="C139" s="1403" t="s">
        <v>603</v>
      </c>
      <c r="D139" s="1419" t="s">
        <v>168</v>
      </c>
      <c r="E139" s="764" t="s">
        <v>604</v>
      </c>
      <c r="F139" s="522"/>
      <c r="G139" s="521"/>
      <c r="H139" s="765"/>
      <c r="I139" s="766">
        <f t="shared" ref="I139:I145" si="60">F139*G139*H139</f>
        <v>0</v>
      </c>
      <c r="J139" s="767"/>
      <c r="K139" s="768"/>
      <c r="L139" s="768"/>
      <c r="M139" s="526">
        <f t="shared" ref="M139:M145" si="61">J139*K139*L139</f>
        <v>0</v>
      </c>
      <c r="N139" s="769">
        <f t="shared" ref="N139:N145" si="62">IF(I139&gt;M139,I139-M139,0)</f>
        <v>0</v>
      </c>
      <c r="O139" s="526">
        <f t="shared" ref="O139:O145" si="63">IF(I139&lt;M139,I139-M139,0)</f>
        <v>0</v>
      </c>
      <c r="Q139" s="699">
        <f t="shared" ref="Q139:V139" si="64">$I$139/$S$135</f>
        <v>0</v>
      </c>
      <c r="R139" s="700">
        <f t="shared" si="64"/>
        <v>0</v>
      </c>
      <c r="S139" s="700">
        <f t="shared" si="64"/>
        <v>0</v>
      </c>
      <c r="T139" s="700">
        <f t="shared" si="64"/>
        <v>0</v>
      </c>
      <c r="U139" s="700">
        <f t="shared" si="64"/>
        <v>0</v>
      </c>
      <c r="V139" s="701">
        <f t="shared" si="64"/>
        <v>0</v>
      </c>
    </row>
    <row r="140" spans="3:22" ht="15.75">
      <c r="C140" s="1404"/>
      <c r="D140" s="1420"/>
      <c r="E140" s="770" t="s">
        <v>605</v>
      </c>
      <c r="F140" s="538"/>
      <c r="G140" s="771"/>
      <c r="H140" s="772"/>
      <c r="I140" s="773"/>
      <c r="J140" s="685"/>
      <c r="K140" s="686"/>
      <c r="L140" s="686"/>
      <c r="M140" s="687"/>
      <c r="N140" s="688"/>
      <c r="O140" s="687"/>
      <c r="Q140" s="699"/>
      <c r="R140" s="700"/>
      <c r="S140" s="700"/>
      <c r="T140" s="700"/>
      <c r="U140" s="700"/>
      <c r="V140" s="701"/>
    </row>
    <row r="141" spans="3:22" ht="15.75">
      <c r="C141" s="1404"/>
      <c r="D141" s="1420"/>
      <c r="E141" s="770" t="s">
        <v>169</v>
      </c>
      <c r="F141" s="774"/>
      <c r="G141" s="537"/>
      <c r="H141" s="772"/>
      <c r="I141" s="773">
        <f t="shared" si="60"/>
        <v>0</v>
      </c>
      <c r="J141" s="641"/>
      <c r="K141" s="615"/>
      <c r="L141" s="615"/>
      <c r="M141" s="542">
        <f t="shared" si="61"/>
        <v>0</v>
      </c>
      <c r="N141" s="642">
        <f t="shared" si="62"/>
        <v>0</v>
      </c>
      <c r="O141" s="542">
        <f t="shared" si="63"/>
        <v>0</v>
      </c>
      <c r="Q141" s="647"/>
      <c r="R141" s="648"/>
      <c r="S141" s="648"/>
      <c r="T141" s="648"/>
      <c r="U141" s="648"/>
      <c r="V141" s="649"/>
    </row>
    <row r="142" spans="3:22" ht="15.75">
      <c r="C142" s="1404"/>
      <c r="D142" s="1420"/>
      <c r="E142" s="770" t="s">
        <v>170</v>
      </c>
      <c r="F142" s="774"/>
      <c r="G142" s="537"/>
      <c r="H142" s="772"/>
      <c r="I142" s="773">
        <f t="shared" si="60"/>
        <v>0</v>
      </c>
      <c r="J142" s="641"/>
      <c r="K142" s="615"/>
      <c r="L142" s="615"/>
      <c r="M142" s="542">
        <f t="shared" si="61"/>
        <v>0</v>
      </c>
      <c r="N142" s="642">
        <f t="shared" si="62"/>
        <v>0</v>
      </c>
      <c r="O142" s="542">
        <f t="shared" si="63"/>
        <v>0</v>
      </c>
      <c r="Q142" s="647"/>
      <c r="R142" s="648"/>
      <c r="S142" s="648"/>
      <c r="T142" s="648"/>
      <c r="U142" s="648"/>
      <c r="V142" s="649"/>
    </row>
    <row r="143" spans="3:22" ht="15.75">
      <c r="C143" s="1404"/>
      <c r="D143" s="1420"/>
      <c r="E143" s="770" t="s">
        <v>171</v>
      </c>
      <c r="F143" s="538"/>
      <c r="G143" s="537"/>
      <c r="H143" s="772"/>
      <c r="I143" s="773">
        <f t="shared" si="60"/>
        <v>0</v>
      </c>
      <c r="J143" s="641"/>
      <c r="K143" s="615"/>
      <c r="L143" s="615"/>
      <c r="M143" s="542">
        <f t="shared" si="61"/>
        <v>0</v>
      </c>
      <c r="N143" s="642">
        <f t="shared" si="62"/>
        <v>0</v>
      </c>
      <c r="O143" s="542">
        <f t="shared" si="63"/>
        <v>0</v>
      </c>
      <c r="Q143" s="647">
        <f t="shared" ref="Q143:V143" si="65">$I$143/$S$135</f>
        <v>0</v>
      </c>
      <c r="R143" s="648">
        <f t="shared" si="65"/>
        <v>0</v>
      </c>
      <c r="S143" s="648">
        <f t="shared" si="65"/>
        <v>0</v>
      </c>
      <c r="T143" s="648">
        <f t="shared" si="65"/>
        <v>0</v>
      </c>
      <c r="U143" s="648">
        <f t="shared" si="65"/>
        <v>0</v>
      </c>
      <c r="V143" s="649">
        <f t="shared" si="65"/>
        <v>0</v>
      </c>
    </row>
    <row r="144" spans="3:22" ht="16.5" thickBot="1">
      <c r="C144" s="1405"/>
      <c r="D144" s="1421"/>
      <c r="E144" s="770" t="s">
        <v>172</v>
      </c>
      <c r="F144" s="538"/>
      <c r="G144" s="537"/>
      <c r="H144" s="772"/>
      <c r="I144" s="773">
        <f t="shared" si="60"/>
        <v>0</v>
      </c>
      <c r="J144" s="775"/>
      <c r="K144" s="623"/>
      <c r="L144" s="623"/>
      <c r="M144" s="719">
        <f t="shared" si="61"/>
        <v>0</v>
      </c>
      <c r="N144" s="776">
        <f t="shared" si="62"/>
        <v>0</v>
      </c>
      <c r="O144" s="719">
        <f t="shared" si="63"/>
        <v>0</v>
      </c>
      <c r="Q144" s="647">
        <f t="shared" ref="Q144:V144" si="66">$I$144/$S$135</f>
        <v>0</v>
      </c>
      <c r="R144" s="648">
        <f t="shared" si="66"/>
        <v>0</v>
      </c>
      <c r="S144" s="648">
        <f t="shared" si="66"/>
        <v>0</v>
      </c>
      <c r="T144" s="648">
        <f t="shared" si="66"/>
        <v>0</v>
      </c>
      <c r="U144" s="648">
        <f t="shared" si="66"/>
        <v>0</v>
      </c>
      <c r="V144" s="649">
        <f t="shared" si="66"/>
        <v>0</v>
      </c>
    </row>
    <row r="145" spans="3:22" ht="15.75">
      <c r="C145" s="777"/>
      <c r="E145" s="770" t="s">
        <v>173</v>
      </c>
      <c r="F145" s="538"/>
      <c r="G145" s="537"/>
      <c r="H145" s="772"/>
      <c r="I145" s="773">
        <f t="shared" si="60"/>
        <v>0</v>
      </c>
      <c r="J145" s="775"/>
      <c r="K145" s="623"/>
      <c r="L145" s="623"/>
      <c r="M145" s="719">
        <f t="shared" si="61"/>
        <v>0</v>
      </c>
      <c r="N145" s="776">
        <f t="shared" si="62"/>
        <v>0</v>
      </c>
      <c r="O145" s="719">
        <f t="shared" si="63"/>
        <v>0</v>
      </c>
      <c r="Q145" s="655"/>
      <c r="R145" s="656"/>
      <c r="S145" s="656"/>
      <c r="T145" s="656"/>
      <c r="U145" s="656"/>
      <c r="V145" s="657"/>
    </row>
    <row r="146" spans="3:22" ht="16.5" thickBot="1">
      <c r="C146" s="777"/>
      <c r="E146" s="778" t="s">
        <v>606</v>
      </c>
      <c r="F146" s="577"/>
      <c r="G146" s="779"/>
      <c r="H146" s="780"/>
      <c r="I146" s="781">
        <f>F146*G146*H146</f>
        <v>0</v>
      </c>
      <c r="J146" s="696"/>
      <c r="K146" s="697"/>
      <c r="L146" s="697"/>
      <c r="M146" s="698"/>
      <c r="N146" s="637"/>
      <c r="O146" s="698"/>
      <c r="Q146" s="735"/>
      <c r="R146" s="736"/>
      <c r="S146" s="736"/>
      <c r="T146" s="736"/>
      <c r="U146" s="736"/>
      <c r="V146" s="737"/>
    </row>
    <row r="147" spans="3:22" ht="16.5" thickBot="1">
      <c r="C147" s="1403" t="s">
        <v>603</v>
      </c>
      <c r="D147" s="1406" t="s">
        <v>174</v>
      </c>
      <c r="E147" s="782" t="s">
        <v>120</v>
      </c>
      <c r="F147" s="783"/>
      <c r="G147" s="784"/>
      <c r="H147" s="785"/>
      <c r="I147" s="786">
        <f>SUM(I139:I144)</f>
        <v>0</v>
      </c>
      <c r="J147" s="742"/>
      <c r="K147" s="677"/>
      <c r="L147" s="677"/>
      <c r="M147" s="678">
        <f>SUM(M139:M144)</f>
        <v>0</v>
      </c>
      <c r="N147" s="679">
        <f>SUM(N139:N144)</f>
        <v>0</v>
      </c>
      <c r="O147" s="678">
        <f>SUM(O139:O144)</f>
        <v>0</v>
      </c>
      <c r="Q147" s="787">
        <f t="shared" ref="Q147:V147" si="67">SUM(Q139:Q145)</f>
        <v>0</v>
      </c>
      <c r="R147" s="788">
        <f t="shared" si="67"/>
        <v>0</v>
      </c>
      <c r="S147" s="788">
        <f t="shared" si="67"/>
        <v>0</v>
      </c>
      <c r="T147" s="788">
        <f t="shared" si="67"/>
        <v>0</v>
      </c>
      <c r="U147" s="788">
        <f t="shared" si="67"/>
        <v>0</v>
      </c>
      <c r="V147" s="789">
        <f t="shared" si="67"/>
        <v>0</v>
      </c>
    </row>
    <row r="148" spans="3:22" ht="15.75">
      <c r="C148" s="1404"/>
      <c r="D148" s="1407"/>
      <c r="E148" s="790" t="s">
        <v>622</v>
      </c>
      <c r="F148" s="791">
        <v>1</v>
      </c>
      <c r="G148" s="792">
        <v>13000</v>
      </c>
      <c r="H148" s="793">
        <v>0.25</v>
      </c>
      <c r="I148" s="794">
        <f t="shared" ref="I148:I171" si="68">F148*G148*H148</f>
        <v>3250</v>
      </c>
      <c r="J148" s="795"/>
      <c r="K148" s="686"/>
      <c r="L148" s="686"/>
      <c r="M148" s="687">
        <f t="shared" ref="M148:M153" si="69">J148*K148*L148</f>
        <v>0</v>
      </c>
      <c r="N148" s="688">
        <f t="shared" ref="N148:N169" si="70">IF(I148&gt;M148,I148-M148,0)</f>
        <v>3250</v>
      </c>
      <c r="O148" s="687">
        <f t="shared" ref="O148:O169" si="71">IF(I148&lt;M148,I148-M148,0)</f>
        <v>0</v>
      </c>
      <c r="Q148" s="643">
        <f>I148/$W$117</f>
        <v>812.5</v>
      </c>
      <c r="R148" s="644">
        <f>$I$148/$W$117</f>
        <v>812.5</v>
      </c>
      <c r="S148" s="644">
        <f>$I$148/$W$117</f>
        <v>812.5</v>
      </c>
      <c r="T148" s="644">
        <f>$I$148/$W$117</f>
        <v>812.5</v>
      </c>
      <c r="U148" s="644"/>
      <c r="V148" s="645"/>
    </row>
    <row r="149" spans="3:22" ht="15.75">
      <c r="C149" s="1404"/>
      <c r="D149" s="1407"/>
      <c r="E149" s="796" t="s">
        <v>623</v>
      </c>
      <c r="F149" s="797">
        <v>1</v>
      </c>
      <c r="G149" s="792">
        <v>13000</v>
      </c>
      <c r="H149" s="793">
        <v>0.25</v>
      </c>
      <c r="I149" s="773">
        <f t="shared" si="68"/>
        <v>3250</v>
      </c>
      <c r="J149" s="717"/>
      <c r="K149" s="615"/>
      <c r="L149" s="615"/>
      <c r="M149" s="542">
        <f t="shared" si="69"/>
        <v>0</v>
      </c>
      <c r="N149" s="642">
        <f t="shared" si="70"/>
        <v>3250</v>
      </c>
      <c r="O149" s="542">
        <f t="shared" si="71"/>
        <v>0</v>
      </c>
      <c r="Q149" s="647">
        <f>$I$149/$W$117</f>
        <v>812.5</v>
      </c>
      <c r="R149" s="648">
        <f>$I$149/$W$117</f>
        <v>812.5</v>
      </c>
      <c r="S149" s="648">
        <f>$I$149/$W$117</f>
        <v>812.5</v>
      </c>
      <c r="T149" s="648">
        <f>$I$149/$W$117</f>
        <v>812.5</v>
      </c>
      <c r="U149" s="648"/>
      <c r="V149" s="649"/>
    </row>
    <row r="150" spans="3:22" ht="15.75">
      <c r="C150" s="1404"/>
      <c r="D150" s="1407"/>
      <c r="E150" s="796" t="s">
        <v>175</v>
      </c>
      <c r="F150" s="797"/>
      <c r="G150" s="771">
        <v>14000</v>
      </c>
      <c r="H150" s="793">
        <v>0.25</v>
      </c>
      <c r="I150" s="773">
        <f t="shared" si="68"/>
        <v>0</v>
      </c>
      <c r="J150" s="798"/>
      <c r="K150" s="615"/>
      <c r="L150" s="615"/>
      <c r="M150" s="542">
        <f t="shared" si="69"/>
        <v>0</v>
      </c>
      <c r="N150" s="642">
        <f t="shared" si="70"/>
        <v>0</v>
      </c>
      <c r="O150" s="542">
        <f t="shared" si="71"/>
        <v>0</v>
      </c>
      <c r="Q150" s="647">
        <f>$I$150/$W$117</f>
        <v>0</v>
      </c>
      <c r="R150" s="648">
        <f>$I$150/$W$117</f>
        <v>0</v>
      </c>
      <c r="S150" s="648">
        <f>$I$150/$W$117</f>
        <v>0</v>
      </c>
      <c r="T150" s="648">
        <f>$I$150/$W$117</f>
        <v>0</v>
      </c>
      <c r="U150" s="648"/>
      <c r="V150" s="649"/>
    </row>
    <row r="151" spans="3:22" ht="15.75">
      <c r="C151" s="1404"/>
      <c r="D151" s="1407"/>
      <c r="E151" s="790" t="s">
        <v>176</v>
      </c>
      <c r="F151" s="791"/>
      <c r="G151" s="792">
        <v>8250</v>
      </c>
      <c r="H151" s="793">
        <v>0.25</v>
      </c>
      <c r="I151" s="794">
        <f t="shared" si="68"/>
        <v>0</v>
      </c>
      <c r="J151" s="795"/>
      <c r="K151" s="686"/>
      <c r="L151" s="686"/>
      <c r="M151" s="687">
        <f t="shared" si="69"/>
        <v>0</v>
      </c>
      <c r="N151" s="688">
        <f t="shared" si="70"/>
        <v>0</v>
      </c>
      <c r="O151" s="687">
        <f t="shared" si="71"/>
        <v>0</v>
      </c>
      <c r="Q151" s="647">
        <f>$I$151/$W$117</f>
        <v>0</v>
      </c>
      <c r="R151" s="648">
        <f>$I$151/$W$117</f>
        <v>0</v>
      </c>
      <c r="S151" s="648">
        <f>$I$151/$W$117</f>
        <v>0</v>
      </c>
      <c r="T151" s="648">
        <f>$I$151/$W$117</f>
        <v>0</v>
      </c>
      <c r="U151" s="648"/>
      <c r="V151" s="649"/>
    </row>
    <row r="152" spans="3:22" ht="15.75">
      <c r="C152" s="1404"/>
      <c r="D152" s="1407"/>
      <c r="E152" s="796" t="s">
        <v>177</v>
      </c>
      <c r="F152" s="797"/>
      <c r="G152" s="771">
        <v>5250</v>
      </c>
      <c r="H152" s="793">
        <v>0.25</v>
      </c>
      <c r="I152" s="773">
        <f t="shared" si="68"/>
        <v>0</v>
      </c>
      <c r="J152" s="717"/>
      <c r="K152" s="615"/>
      <c r="L152" s="615"/>
      <c r="M152" s="542">
        <f t="shared" si="69"/>
        <v>0</v>
      </c>
      <c r="N152" s="642">
        <f t="shared" si="70"/>
        <v>0</v>
      </c>
      <c r="O152" s="542">
        <f t="shared" si="71"/>
        <v>0</v>
      </c>
      <c r="Q152" s="647">
        <f>$I$152/$W$117</f>
        <v>0</v>
      </c>
      <c r="R152" s="648">
        <f>$I$152/$W$117</f>
        <v>0</v>
      </c>
      <c r="S152" s="648">
        <f>$I$152/$W$117</f>
        <v>0</v>
      </c>
      <c r="T152" s="648">
        <f>$I$152/$W$117</f>
        <v>0</v>
      </c>
      <c r="U152" s="648"/>
      <c r="V152" s="649"/>
    </row>
    <row r="153" spans="3:22" ht="15.75">
      <c r="C153" s="1404"/>
      <c r="D153" s="1407"/>
      <c r="E153" s="799" t="s">
        <v>178</v>
      </c>
      <c r="F153" s="800"/>
      <c r="G153" s="771">
        <v>4000</v>
      </c>
      <c r="H153" s="793">
        <v>0.25</v>
      </c>
      <c r="I153" s="773">
        <f t="shared" si="68"/>
        <v>0</v>
      </c>
      <c r="J153" s="717"/>
      <c r="K153" s="615"/>
      <c r="L153" s="615"/>
      <c r="M153" s="542">
        <f t="shared" si="69"/>
        <v>0</v>
      </c>
      <c r="N153" s="642">
        <f t="shared" si="70"/>
        <v>0</v>
      </c>
      <c r="O153" s="542">
        <f t="shared" si="71"/>
        <v>0</v>
      </c>
      <c r="Q153" s="647">
        <f>$I$153/$W$117</f>
        <v>0</v>
      </c>
      <c r="R153" s="648">
        <f>$I$153/$W$117</f>
        <v>0</v>
      </c>
      <c r="S153" s="648">
        <f>$I$153/$W$117</f>
        <v>0</v>
      </c>
      <c r="T153" s="648">
        <f>$I$153/$W$117</f>
        <v>0</v>
      </c>
      <c r="U153" s="648"/>
      <c r="V153" s="649"/>
    </row>
    <row r="154" spans="3:22" ht="15.75">
      <c r="C154" s="1404"/>
      <c r="D154" s="1407"/>
      <c r="E154" s="799" t="s">
        <v>179</v>
      </c>
      <c r="F154" s="800">
        <v>1</v>
      </c>
      <c r="G154" s="771">
        <v>1000</v>
      </c>
      <c r="H154" s="793">
        <v>0.25</v>
      </c>
      <c r="I154" s="773">
        <f t="shared" si="68"/>
        <v>250</v>
      </c>
      <c r="J154" s="717"/>
      <c r="K154" s="615"/>
      <c r="L154" s="615"/>
      <c r="M154" s="542">
        <f>J154*K154</f>
        <v>0</v>
      </c>
      <c r="N154" s="642">
        <f t="shared" si="70"/>
        <v>250</v>
      </c>
      <c r="O154" s="542">
        <f t="shared" si="71"/>
        <v>0</v>
      </c>
      <c r="Q154" s="647">
        <f>$I$154/$W$117</f>
        <v>62.5</v>
      </c>
      <c r="R154" s="648">
        <f>$I$154/$W$117</f>
        <v>62.5</v>
      </c>
      <c r="S154" s="648">
        <f>$I$154/$W$117</f>
        <v>62.5</v>
      </c>
      <c r="T154" s="648">
        <f>$I$154/$W$117</f>
        <v>62.5</v>
      </c>
      <c r="U154" s="648"/>
      <c r="V154" s="649"/>
    </row>
    <row r="155" spans="3:22" ht="15.75">
      <c r="C155" s="1404"/>
      <c r="D155" s="1407"/>
      <c r="E155" s="799" t="s">
        <v>180</v>
      </c>
      <c r="F155" s="800">
        <v>1</v>
      </c>
      <c r="G155" s="771">
        <v>1000</v>
      </c>
      <c r="H155" s="793">
        <v>0.25</v>
      </c>
      <c r="I155" s="773">
        <f t="shared" si="68"/>
        <v>250</v>
      </c>
      <c r="J155" s="717"/>
      <c r="K155" s="615"/>
      <c r="L155" s="615"/>
      <c r="M155" s="542">
        <f>J155*K155*L155</f>
        <v>0</v>
      </c>
      <c r="N155" s="642">
        <f t="shared" si="70"/>
        <v>250</v>
      </c>
      <c r="O155" s="542">
        <f t="shared" si="71"/>
        <v>0</v>
      </c>
      <c r="Q155" s="647">
        <f>$I$155/$W$117</f>
        <v>62.5</v>
      </c>
      <c r="R155" s="648">
        <f>$I$155/$W$117</f>
        <v>62.5</v>
      </c>
      <c r="S155" s="648">
        <f>$I$155/$W$117</f>
        <v>62.5</v>
      </c>
      <c r="T155" s="648">
        <f>$I$155/$W$117</f>
        <v>62.5</v>
      </c>
      <c r="U155" s="648"/>
      <c r="V155" s="649"/>
    </row>
    <row r="156" spans="3:22" ht="15.75">
      <c r="C156" s="1404"/>
      <c r="D156" s="1407"/>
      <c r="E156" s="799" t="s">
        <v>181</v>
      </c>
      <c r="F156" s="800">
        <v>2</v>
      </c>
      <c r="G156" s="771">
        <v>1500</v>
      </c>
      <c r="H156" s="793">
        <v>0.25</v>
      </c>
      <c r="I156" s="773">
        <f t="shared" si="68"/>
        <v>750</v>
      </c>
      <c r="J156" s="717"/>
      <c r="K156" s="615"/>
      <c r="L156" s="615"/>
      <c r="M156" s="542">
        <f>J156*K156*L156</f>
        <v>0</v>
      </c>
      <c r="N156" s="642">
        <f t="shared" si="70"/>
        <v>750</v>
      </c>
      <c r="O156" s="542">
        <f t="shared" si="71"/>
        <v>0</v>
      </c>
      <c r="Q156" s="647">
        <f>$I$156/$W$117</f>
        <v>187.5</v>
      </c>
      <c r="R156" s="648">
        <f>$I$156/$W$117</f>
        <v>187.5</v>
      </c>
      <c r="S156" s="648">
        <f>$I$156/$W$117</f>
        <v>187.5</v>
      </c>
      <c r="T156" s="648">
        <f>$I$156/$W$117</f>
        <v>187.5</v>
      </c>
      <c r="U156" s="648"/>
      <c r="V156" s="649"/>
    </row>
    <row r="157" spans="3:22" ht="15.75">
      <c r="C157" s="1404"/>
      <c r="D157" s="1407"/>
      <c r="E157" s="799" t="s">
        <v>182</v>
      </c>
      <c r="F157" s="800">
        <v>1</v>
      </c>
      <c r="G157" s="771">
        <v>2500</v>
      </c>
      <c r="H157" s="793">
        <v>0.25</v>
      </c>
      <c r="I157" s="773">
        <f t="shared" si="68"/>
        <v>625</v>
      </c>
      <c r="J157" s="717"/>
      <c r="K157" s="615"/>
      <c r="L157" s="615"/>
      <c r="M157" s="542">
        <f>J157*K157</f>
        <v>0</v>
      </c>
      <c r="N157" s="642">
        <f t="shared" si="70"/>
        <v>625</v>
      </c>
      <c r="O157" s="542">
        <f t="shared" si="71"/>
        <v>0</v>
      </c>
      <c r="Q157" s="647">
        <f>$I$157/$W$117</f>
        <v>156.25</v>
      </c>
      <c r="R157" s="648">
        <f>$I$157/$W$117</f>
        <v>156.25</v>
      </c>
      <c r="S157" s="648">
        <f>$I$157/$W$117</f>
        <v>156.25</v>
      </c>
      <c r="T157" s="648">
        <f>$I$157/$W$117</f>
        <v>156.25</v>
      </c>
      <c r="U157" s="648"/>
      <c r="V157" s="649"/>
    </row>
    <row r="158" spans="3:22" ht="15.75">
      <c r="C158" s="1404"/>
      <c r="D158" s="1407"/>
      <c r="E158" s="799" t="s">
        <v>183</v>
      </c>
      <c r="F158" s="800">
        <v>1</v>
      </c>
      <c r="G158" s="771">
        <v>2500</v>
      </c>
      <c r="H158" s="793">
        <v>0.25</v>
      </c>
      <c r="I158" s="773">
        <f t="shared" si="68"/>
        <v>625</v>
      </c>
      <c r="J158" s="717"/>
      <c r="K158" s="615"/>
      <c r="L158" s="615"/>
      <c r="M158" s="542">
        <f>J158*K158*L158</f>
        <v>0</v>
      </c>
      <c r="N158" s="642">
        <f t="shared" si="70"/>
        <v>625</v>
      </c>
      <c r="O158" s="542">
        <f t="shared" si="71"/>
        <v>0</v>
      </c>
      <c r="Q158" s="647">
        <f>$I$158/$W$117</f>
        <v>156.25</v>
      </c>
      <c r="R158" s="648">
        <f>$I$158/$W$117</f>
        <v>156.25</v>
      </c>
      <c r="S158" s="648">
        <f>$I$158/$W$117</f>
        <v>156.25</v>
      </c>
      <c r="T158" s="648">
        <f>$I$158/$W$117</f>
        <v>156.25</v>
      </c>
      <c r="U158" s="648"/>
      <c r="V158" s="649"/>
    </row>
    <row r="159" spans="3:22" ht="15.75">
      <c r="C159" s="1404"/>
      <c r="D159" s="1407"/>
      <c r="E159" s="799" t="s">
        <v>184</v>
      </c>
      <c r="F159" s="800"/>
      <c r="G159" s="771"/>
      <c r="H159" s="793"/>
      <c r="I159" s="773">
        <f t="shared" si="68"/>
        <v>0</v>
      </c>
      <c r="J159" s="717"/>
      <c r="K159" s="615"/>
      <c r="L159" s="615"/>
      <c r="M159" s="542">
        <f>J159*K159</f>
        <v>0</v>
      </c>
      <c r="N159" s="642">
        <f t="shared" si="70"/>
        <v>0</v>
      </c>
      <c r="O159" s="542">
        <f t="shared" si="71"/>
        <v>0</v>
      </c>
      <c r="Q159" s="647">
        <f>$I$159/$W$117</f>
        <v>0</v>
      </c>
      <c r="R159" s="648">
        <f>$I$159/$W$117</f>
        <v>0</v>
      </c>
      <c r="S159" s="648">
        <f>$I$159/$W$117</f>
        <v>0</v>
      </c>
      <c r="T159" s="648">
        <f>$I$159/$W$117</f>
        <v>0</v>
      </c>
      <c r="U159" s="648"/>
      <c r="V159" s="649"/>
    </row>
    <row r="160" spans="3:22" ht="15.75">
      <c r="C160" s="1404"/>
      <c r="D160" s="1407"/>
      <c r="E160" s="799" t="s">
        <v>185</v>
      </c>
      <c r="F160" s="800"/>
      <c r="G160" s="537"/>
      <c r="H160" s="793"/>
      <c r="I160" s="801">
        <f t="shared" si="68"/>
        <v>0</v>
      </c>
      <c r="J160" s="798"/>
      <c r="K160" s="615"/>
      <c r="L160" s="615"/>
      <c r="M160" s="542">
        <f t="shared" ref="M160:M169" si="72">J160*K160*L160</f>
        <v>0</v>
      </c>
      <c r="N160" s="642">
        <f t="shared" si="70"/>
        <v>0</v>
      </c>
      <c r="O160" s="542">
        <f t="shared" si="71"/>
        <v>0</v>
      </c>
      <c r="Q160" s="647">
        <f>$I$160/$W$117</f>
        <v>0</v>
      </c>
      <c r="R160" s="648">
        <f>$I$160/$W$117</f>
        <v>0</v>
      </c>
      <c r="S160" s="648">
        <f>$I$160/$W$117</f>
        <v>0</v>
      </c>
      <c r="T160" s="648">
        <f>$I$160/$W$117</f>
        <v>0</v>
      </c>
      <c r="U160" s="648"/>
      <c r="V160" s="649"/>
    </row>
    <row r="161" spans="3:24" ht="19.5" customHeight="1">
      <c r="C161" s="1404"/>
      <c r="D161" s="1407"/>
      <c r="E161" s="799" t="s">
        <v>186</v>
      </c>
      <c r="F161" s="802"/>
      <c r="G161" s="620"/>
      <c r="H161" s="793"/>
      <c r="I161" s="803">
        <f t="shared" si="68"/>
        <v>0</v>
      </c>
      <c r="J161" s="718"/>
      <c r="K161" s="623"/>
      <c r="L161" s="623"/>
      <c r="M161" s="719">
        <f t="shared" si="72"/>
        <v>0</v>
      </c>
      <c r="N161" s="776">
        <f t="shared" si="70"/>
        <v>0</v>
      </c>
      <c r="O161" s="719">
        <f t="shared" si="71"/>
        <v>0</v>
      </c>
      <c r="Q161" s="647">
        <f>$I$161/$W$117</f>
        <v>0</v>
      </c>
      <c r="R161" s="648">
        <f>$I$161/$W$117</f>
        <v>0</v>
      </c>
      <c r="S161" s="648">
        <f>$I$161/$W$117</f>
        <v>0</v>
      </c>
      <c r="T161" s="648">
        <f>$I$161/$W$117</f>
        <v>0</v>
      </c>
      <c r="U161" s="648"/>
      <c r="V161" s="649"/>
      <c r="X161" s="483" t="s">
        <v>607</v>
      </c>
    </row>
    <row r="162" spans="3:24" ht="19.5" customHeight="1">
      <c r="C162" s="1404"/>
      <c r="D162" s="1407"/>
      <c r="E162" s="796" t="s">
        <v>187</v>
      </c>
      <c r="F162" s="804"/>
      <c r="G162" s="537"/>
      <c r="H162" s="793"/>
      <c r="I162" s="801">
        <f t="shared" si="68"/>
        <v>0</v>
      </c>
      <c r="J162" s="798"/>
      <c r="K162" s="615"/>
      <c r="L162" s="615"/>
      <c r="M162" s="542">
        <f t="shared" si="72"/>
        <v>0</v>
      </c>
      <c r="N162" s="642">
        <f t="shared" si="70"/>
        <v>0</v>
      </c>
      <c r="O162" s="542">
        <f t="shared" si="71"/>
        <v>0</v>
      </c>
      <c r="Q162" s="647">
        <f>$I$162/$W$117</f>
        <v>0</v>
      </c>
      <c r="R162" s="648">
        <f>$I$162/$W$117</f>
        <v>0</v>
      </c>
      <c r="S162" s="648">
        <f>$I$162/$W$117</f>
        <v>0</v>
      </c>
      <c r="T162" s="648">
        <f>$I$162/$W$117</f>
        <v>0</v>
      </c>
      <c r="U162" s="648"/>
      <c r="V162" s="649"/>
      <c r="X162" s="805">
        <v>2</v>
      </c>
    </row>
    <row r="163" spans="3:24" ht="19.5" customHeight="1">
      <c r="C163" s="1404"/>
      <c r="D163" s="1407"/>
      <c r="E163" s="796" t="s">
        <v>188</v>
      </c>
      <c r="F163" s="804"/>
      <c r="G163" s="537"/>
      <c r="H163" s="793"/>
      <c r="I163" s="801">
        <f t="shared" si="68"/>
        <v>0</v>
      </c>
      <c r="J163" s="798"/>
      <c r="K163" s="615"/>
      <c r="L163" s="615"/>
      <c r="M163" s="542">
        <f t="shared" si="72"/>
        <v>0</v>
      </c>
      <c r="N163" s="642">
        <f t="shared" si="70"/>
        <v>0</v>
      </c>
      <c r="O163" s="542">
        <f t="shared" si="71"/>
        <v>0</v>
      </c>
      <c r="Q163" s="647">
        <f>$I$163/$W$117</f>
        <v>0</v>
      </c>
      <c r="R163" s="648">
        <f>$I$163/$W$117</f>
        <v>0</v>
      </c>
      <c r="S163" s="648">
        <f>$I$163/$W$117</f>
        <v>0</v>
      </c>
      <c r="T163" s="648">
        <f>$I$163/$W$117</f>
        <v>0</v>
      </c>
      <c r="U163" s="648"/>
      <c r="V163" s="649"/>
    </row>
    <row r="164" spans="3:24" ht="19.5" customHeight="1">
      <c r="C164" s="1404"/>
      <c r="D164" s="1407"/>
      <c r="E164" s="796" t="s">
        <v>189</v>
      </c>
      <c r="F164" s="806"/>
      <c r="G164" s="537"/>
      <c r="H164" s="793"/>
      <c r="I164" s="801">
        <f t="shared" si="68"/>
        <v>0</v>
      </c>
      <c r="J164" s="798"/>
      <c r="K164" s="615"/>
      <c r="L164" s="615"/>
      <c r="M164" s="542">
        <f t="shared" si="72"/>
        <v>0</v>
      </c>
      <c r="N164" s="642">
        <f t="shared" si="70"/>
        <v>0</v>
      </c>
      <c r="O164" s="542">
        <f t="shared" si="71"/>
        <v>0</v>
      </c>
      <c r="Q164" s="647">
        <f>$I$164/$W$117</f>
        <v>0</v>
      </c>
      <c r="R164" s="648">
        <f>$I$164/$W$117</f>
        <v>0</v>
      </c>
      <c r="S164" s="648">
        <f>$I$164/$W$117</f>
        <v>0</v>
      </c>
      <c r="T164" s="648">
        <f>$I$164/$W$117</f>
        <v>0</v>
      </c>
      <c r="U164" s="648"/>
      <c r="V164" s="649"/>
    </row>
    <row r="165" spans="3:24" ht="19.5" customHeight="1">
      <c r="C165" s="1404"/>
      <c r="D165" s="1407"/>
      <c r="E165" s="796" t="s">
        <v>190</v>
      </c>
      <c r="F165" s="806"/>
      <c r="G165" s="537"/>
      <c r="H165" s="793"/>
      <c r="I165" s="801">
        <f t="shared" si="68"/>
        <v>0</v>
      </c>
      <c r="J165" s="798"/>
      <c r="K165" s="615"/>
      <c r="L165" s="615"/>
      <c r="M165" s="542">
        <f t="shared" si="72"/>
        <v>0</v>
      </c>
      <c r="N165" s="642">
        <f t="shared" si="70"/>
        <v>0</v>
      </c>
      <c r="O165" s="542">
        <f t="shared" si="71"/>
        <v>0</v>
      </c>
      <c r="Q165" s="647">
        <f>$I$165/$W$117</f>
        <v>0</v>
      </c>
      <c r="R165" s="648">
        <f>$I$165/$W$117</f>
        <v>0</v>
      </c>
      <c r="S165" s="648">
        <f>$I$165/$W$117</f>
        <v>0</v>
      </c>
      <c r="T165" s="648">
        <f>$I$165/$W$117</f>
        <v>0</v>
      </c>
      <c r="U165" s="648"/>
      <c r="V165" s="649"/>
    </row>
    <row r="166" spans="3:24" ht="19.5" customHeight="1">
      <c r="C166" s="1404"/>
      <c r="D166" s="1407"/>
      <c r="E166" s="799" t="s">
        <v>191</v>
      </c>
      <c r="F166" s="800">
        <v>1</v>
      </c>
      <c r="G166" s="537">
        <v>30000</v>
      </c>
      <c r="H166" s="807">
        <v>0.25</v>
      </c>
      <c r="I166" s="667">
        <f t="shared" si="68"/>
        <v>7500</v>
      </c>
      <c r="J166" s="717"/>
      <c r="K166" s="615"/>
      <c r="L166" s="615"/>
      <c r="M166" s="542">
        <f t="shared" si="72"/>
        <v>0</v>
      </c>
      <c r="N166" s="642">
        <f t="shared" si="70"/>
        <v>7500</v>
      </c>
      <c r="O166" s="542">
        <f t="shared" si="71"/>
        <v>0</v>
      </c>
      <c r="Q166" s="647">
        <f>$I$166/$W$117</f>
        <v>1875</v>
      </c>
      <c r="R166" s="648">
        <f>$I$166/$W$117</f>
        <v>1875</v>
      </c>
      <c r="S166" s="648">
        <f>$I$166/$W$117</f>
        <v>1875</v>
      </c>
      <c r="T166" s="648">
        <f>$I$166/$W$117</f>
        <v>1875</v>
      </c>
      <c r="U166" s="648"/>
      <c r="V166" s="649"/>
    </row>
    <row r="167" spans="3:24" ht="19.5" customHeight="1">
      <c r="C167" s="1404"/>
      <c r="D167" s="1407"/>
      <c r="E167" s="808" t="s">
        <v>192</v>
      </c>
      <c r="F167" s="802"/>
      <c r="G167" s="620">
        <v>15000</v>
      </c>
      <c r="H167" s="807">
        <v>0.25</v>
      </c>
      <c r="I167" s="667">
        <f t="shared" si="68"/>
        <v>0</v>
      </c>
      <c r="J167" s="718"/>
      <c r="K167" s="623"/>
      <c r="L167" s="623"/>
      <c r="M167" s="719">
        <f t="shared" si="72"/>
        <v>0</v>
      </c>
      <c r="N167" s="776">
        <f t="shared" si="70"/>
        <v>0</v>
      </c>
      <c r="O167" s="719">
        <f t="shared" si="71"/>
        <v>0</v>
      </c>
      <c r="Q167" s="647">
        <f>$I$167/$W$117</f>
        <v>0</v>
      </c>
      <c r="R167" s="648">
        <f>$I$167/$W$117</f>
        <v>0</v>
      </c>
      <c r="S167" s="648">
        <f>$I$167/$W$117</f>
        <v>0</v>
      </c>
      <c r="T167" s="648">
        <f>$I$167/$W$117</f>
        <v>0</v>
      </c>
      <c r="U167" s="648"/>
      <c r="V167" s="649"/>
    </row>
    <row r="168" spans="3:24" ht="19.5" customHeight="1">
      <c r="C168" s="1404"/>
      <c r="D168" s="1407"/>
      <c r="E168" s="796" t="s">
        <v>193</v>
      </c>
      <c r="F168" s="802">
        <v>1</v>
      </c>
      <c r="G168" s="620">
        <v>30000</v>
      </c>
      <c r="H168" s="807">
        <v>0.15</v>
      </c>
      <c r="I168" s="667">
        <f t="shared" si="68"/>
        <v>4500</v>
      </c>
      <c r="J168" s="718"/>
      <c r="K168" s="623"/>
      <c r="L168" s="623"/>
      <c r="M168" s="719">
        <f t="shared" si="72"/>
        <v>0</v>
      </c>
      <c r="N168" s="776">
        <f t="shared" si="70"/>
        <v>4500</v>
      </c>
      <c r="O168" s="719">
        <f t="shared" si="71"/>
        <v>0</v>
      </c>
      <c r="Q168" s="647">
        <f>$I$168/$W$117</f>
        <v>1125</v>
      </c>
      <c r="R168" s="648">
        <f>$I$168/$W$117</f>
        <v>1125</v>
      </c>
      <c r="S168" s="648">
        <f>$I$168/$W$117</f>
        <v>1125</v>
      </c>
      <c r="T168" s="648">
        <f>$I$168/$W$117</f>
        <v>1125</v>
      </c>
      <c r="U168" s="648"/>
      <c r="V168" s="649"/>
    </row>
    <row r="169" spans="3:24" ht="19.5" customHeight="1">
      <c r="C169" s="1404"/>
      <c r="D169" s="1407"/>
      <c r="E169" s="809" t="s">
        <v>194</v>
      </c>
      <c r="F169" s="538">
        <v>1</v>
      </c>
      <c r="G169" s="537">
        <v>15000</v>
      </c>
      <c r="H169" s="807">
        <v>0.25</v>
      </c>
      <c r="I169" s="537">
        <f t="shared" si="68"/>
        <v>3750</v>
      </c>
      <c r="J169" s="775"/>
      <c r="K169" s="623"/>
      <c r="L169" s="623"/>
      <c r="M169" s="719">
        <f t="shared" si="72"/>
        <v>0</v>
      </c>
      <c r="N169" s="776">
        <f t="shared" si="70"/>
        <v>3750</v>
      </c>
      <c r="O169" s="719">
        <f t="shared" si="71"/>
        <v>0</v>
      </c>
      <c r="Q169" s="647">
        <f>$I$169/$W$117</f>
        <v>937.5</v>
      </c>
      <c r="R169" s="648">
        <f>$I$169/$W$117</f>
        <v>937.5</v>
      </c>
      <c r="S169" s="648">
        <f>$I$169/$W$117</f>
        <v>937.5</v>
      </c>
      <c r="T169" s="648">
        <f>$I$169/$W$117</f>
        <v>937.5</v>
      </c>
      <c r="U169" s="648"/>
      <c r="V169" s="649"/>
    </row>
    <row r="170" spans="3:24" ht="19.5" customHeight="1" thickBot="1">
      <c r="C170" s="1405"/>
      <c r="D170" s="1408"/>
      <c r="E170" s="809" t="s">
        <v>608</v>
      </c>
      <c r="F170" s="538">
        <v>1</v>
      </c>
      <c r="G170" s="771">
        <v>15000</v>
      </c>
      <c r="H170" s="807">
        <v>1</v>
      </c>
      <c r="I170" s="537">
        <f t="shared" si="68"/>
        <v>15000</v>
      </c>
      <c r="J170" s="696"/>
      <c r="K170" s="697"/>
      <c r="L170" s="697"/>
      <c r="M170" s="698"/>
      <c r="N170" s="637"/>
      <c r="O170" s="698"/>
      <c r="Q170" s="647">
        <f t="shared" ref="Q170:V170" si="73">$I$170/$S$135</f>
        <v>1250</v>
      </c>
      <c r="R170" s="648">
        <f t="shared" si="73"/>
        <v>1250</v>
      </c>
      <c r="S170" s="648">
        <f t="shared" si="73"/>
        <v>1250</v>
      </c>
      <c r="T170" s="648">
        <f t="shared" si="73"/>
        <v>1250</v>
      </c>
      <c r="U170" s="648">
        <f t="shared" si="73"/>
        <v>1250</v>
      </c>
      <c r="V170" s="649">
        <f t="shared" si="73"/>
        <v>1250</v>
      </c>
    </row>
    <row r="171" spans="3:24" ht="16.5" thickBot="1">
      <c r="C171" s="624"/>
      <c r="E171" s="516" t="s">
        <v>130</v>
      </c>
      <c r="F171" s="538">
        <v>1</v>
      </c>
      <c r="G171" s="537">
        <v>10000</v>
      </c>
      <c r="H171" s="807">
        <v>0.25</v>
      </c>
      <c r="I171" s="537">
        <f t="shared" si="68"/>
        <v>2500</v>
      </c>
      <c r="J171" s="696"/>
      <c r="K171" s="697"/>
      <c r="L171" s="697"/>
      <c r="M171" s="698"/>
      <c r="N171" s="637"/>
      <c r="O171" s="698"/>
      <c r="Q171" s="655">
        <f>$I$171/$W$117</f>
        <v>625</v>
      </c>
      <c r="R171" s="656">
        <f>$I$171/$W$117</f>
        <v>625</v>
      </c>
      <c r="S171" s="656">
        <f>$I$171/$W$117</f>
        <v>625</v>
      </c>
      <c r="T171" s="656">
        <f>$I$171/$W$117</f>
        <v>625</v>
      </c>
      <c r="U171" s="656"/>
      <c r="V171" s="657"/>
    </row>
    <row r="172" spans="3:24" ht="16.5" thickBot="1">
      <c r="E172" s="810" t="s">
        <v>120</v>
      </c>
      <c r="F172" s="783"/>
      <c r="G172" s="811"/>
      <c r="H172" s="812"/>
      <c r="I172" s="813">
        <f>SUM(I148:I171)</f>
        <v>42250</v>
      </c>
      <c r="J172" s="742"/>
      <c r="K172" s="677"/>
      <c r="L172" s="677"/>
      <c r="M172" s="678">
        <f>SUM(M148:M169)</f>
        <v>0</v>
      </c>
      <c r="N172" s="679">
        <f>SUM(N148:N169)</f>
        <v>24750</v>
      </c>
      <c r="O172" s="678">
        <f>SUM(O148:O169)</f>
        <v>0</v>
      </c>
      <c r="Q172" s="814">
        <f t="shared" ref="Q172:V172" si="74">SUM(Q148:Q171)</f>
        <v>8062.5</v>
      </c>
      <c r="R172" s="815">
        <f t="shared" si="74"/>
        <v>8062.5</v>
      </c>
      <c r="S172" s="815">
        <f t="shared" si="74"/>
        <v>8062.5</v>
      </c>
      <c r="T172" s="815">
        <f t="shared" si="74"/>
        <v>8062.5</v>
      </c>
      <c r="U172" s="815">
        <f t="shared" si="74"/>
        <v>1250</v>
      </c>
      <c r="V172" s="816">
        <f t="shared" si="74"/>
        <v>1250</v>
      </c>
    </row>
    <row r="173" spans="3:24" ht="16.5" thickBot="1">
      <c r="E173" s="588" t="s">
        <v>110</v>
      </c>
      <c r="F173" s="589"/>
      <c r="G173" s="747"/>
      <c r="H173" s="591"/>
      <c r="I173" s="592">
        <f>I172+I147</f>
        <v>42250</v>
      </c>
      <c r="J173" s="589"/>
      <c r="K173" s="591"/>
      <c r="L173" s="591"/>
      <c r="M173" s="817" t="e">
        <f>M147+M172+#REF!</f>
        <v>#REF!</v>
      </c>
      <c r="N173" s="818" t="e">
        <f>N147+N172+#REF!</f>
        <v>#REF!</v>
      </c>
      <c r="O173" s="819" t="e">
        <f>O147+O172+#REF!</f>
        <v>#REF!</v>
      </c>
      <c r="Q173" s="599">
        <f t="shared" ref="Q173:V173" si="75">Q147+Q172</f>
        <v>8062.5</v>
      </c>
      <c r="R173" s="600">
        <f t="shared" si="75"/>
        <v>8062.5</v>
      </c>
      <c r="S173" s="600">
        <f t="shared" si="75"/>
        <v>8062.5</v>
      </c>
      <c r="T173" s="600">
        <f t="shared" si="75"/>
        <v>8062.5</v>
      </c>
      <c r="U173" s="600">
        <f t="shared" si="75"/>
        <v>1250</v>
      </c>
      <c r="V173" s="600">
        <f t="shared" si="75"/>
        <v>1250</v>
      </c>
    </row>
    <row r="174" spans="3:24" ht="13.5" thickBot="1">
      <c r="F174" s="482"/>
      <c r="H174" s="482"/>
      <c r="J174" s="482"/>
      <c r="K174" s="482"/>
      <c r="L174" s="482"/>
      <c r="M174" s="482"/>
      <c r="N174" s="605"/>
      <c r="O174" s="753" t="e">
        <f>N173+O173</f>
        <v>#REF!</v>
      </c>
      <c r="Q174" s="552"/>
      <c r="R174" s="552"/>
      <c r="S174" s="552"/>
      <c r="T174" s="552"/>
      <c r="U174" s="552"/>
      <c r="V174" s="552"/>
    </row>
    <row r="175" spans="3:24" ht="13.5" thickBot="1">
      <c r="F175" s="482"/>
      <c r="H175" s="482"/>
      <c r="J175" s="482"/>
      <c r="K175" s="482"/>
      <c r="L175" s="482"/>
      <c r="M175" s="482"/>
      <c r="N175" s="605"/>
      <c r="O175" s="603"/>
      <c r="Q175" s="552"/>
      <c r="R175" s="552"/>
      <c r="S175" s="552"/>
      <c r="T175" s="552"/>
      <c r="U175" s="552"/>
      <c r="V175" s="552"/>
    </row>
    <row r="176" spans="3:24" ht="13.5" thickBot="1">
      <c r="C176" s="491">
        <v>5</v>
      </c>
      <c r="E176" s="820"/>
      <c r="F176" s="1409" t="s">
        <v>276</v>
      </c>
      <c r="G176" s="1410"/>
      <c r="H176" s="1410"/>
      <c r="I176" s="1411"/>
      <c r="J176" s="1422" t="s">
        <v>277</v>
      </c>
      <c r="K176" s="1412"/>
      <c r="L176" s="1412"/>
      <c r="M176" s="1413"/>
      <c r="N176" s="1414" t="s">
        <v>103</v>
      </c>
      <c r="O176" s="1415"/>
      <c r="Q176" s="493"/>
      <c r="R176" s="494"/>
      <c r="S176" s="494" t="s">
        <v>547</v>
      </c>
      <c r="T176" s="494"/>
      <c r="U176" s="494"/>
      <c r="V176" s="495"/>
    </row>
    <row r="177" spans="3:22" ht="18.75" thickBot="1">
      <c r="E177" s="821" t="s">
        <v>274</v>
      </c>
      <c r="F177" s="822" t="s">
        <v>104</v>
      </c>
      <c r="G177" s="823" t="s">
        <v>105</v>
      </c>
      <c r="H177" s="824" t="s">
        <v>166</v>
      </c>
      <c r="I177" s="825" t="s">
        <v>107</v>
      </c>
      <c r="J177" s="826" t="s">
        <v>104</v>
      </c>
      <c r="K177" s="827" t="s">
        <v>105</v>
      </c>
      <c r="L177" s="828" t="s">
        <v>166</v>
      </c>
      <c r="M177" s="829" t="s">
        <v>107</v>
      </c>
      <c r="N177" s="830" t="s">
        <v>108</v>
      </c>
      <c r="O177" s="831" t="s">
        <v>109</v>
      </c>
      <c r="Q177" s="832" t="s">
        <v>552</v>
      </c>
      <c r="R177" s="833" t="s">
        <v>553</v>
      </c>
      <c r="S177" s="833" t="s">
        <v>554</v>
      </c>
      <c r="T177" s="833" t="s">
        <v>555</v>
      </c>
      <c r="U177" s="833" t="s">
        <v>556</v>
      </c>
      <c r="V177" s="834" t="s">
        <v>557</v>
      </c>
    </row>
    <row r="178" spans="3:22" ht="15.75">
      <c r="C178" s="1403" t="s">
        <v>603</v>
      </c>
      <c r="D178" s="1416" t="s">
        <v>195</v>
      </c>
      <c r="E178" s="770" t="s">
        <v>196</v>
      </c>
      <c r="F178" s="538"/>
      <c r="G178" s="537"/>
      <c r="H178" s="793"/>
      <c r="I178" s="801">
        <f t="shared" ref="I178:I186" si="76">F178*G178*H178</f>
        <v>0</v>
      </c>
      <c r="J178" s="717"/>
      <c r="K178" s="615"/>
      <c r="L178" s="615"/>
      <c r="M178" s="542">
        <f t="shared" ref="M178:M187" si="77">J178*K178*L178</f>
        <v>0</v>
      </c>
      <c r="N178" s="835">
        <f t="shared" ref="N178:N187" si="78">IF(I178&gt;M178,I178-M178,0)</f>
        <v>0</v>
      </c>
      <c r="O178" s="542">
        <f t="shared" ref="O178:O187" si="79">IF(I178&lt;M178,I178-M178,0)</f>
        <v>0</v>
      </c>
      <c r="Q178" s="643"/>
      <c r="R178" s="644"/>
      <c r="S178" s="644"/>
      <c r="T178" s="644"/>
      <c r="U178" s="644"/>
      <c r="V178" s="645"/>
    </row>
    <row r="179" spans="3:22" ht="15.75">
      <c r="C179" s="1404"/>
      <c r="D179" s="1417"/>
      <c r="E179" s="770" t="s">
        <v>197</v>
      </c>
      <c r="F179" s="538"/>
      <c r="G179" s="537"/>
      <c r="H179" s="793"/>
      <c r="I179" s="801">
        <f t="shared" si="76"/>
        <v>0</v>
      </c>
      <c r="J179" s="717"/>
      <c r="K179" s="615"/>
      <c r="L179" s="615"/>
      <c r="M179" s="542">
        <f t="shared" si="77"/>
        <v>0</v>
      </c>
      <c r="N179" s="835">
        <f t="shared" si="78"/>
        <v>0</v>
      </c>
      <c r="O179" s="542">
        <f t="shared" si="79"/>
        <v>0</v>
      </c>
      <c r="Q179" s="647"/>
      <c r="R179" s="648"/>
      <c r="S179" s="648"/>
      <c r="T179" s="648"/>
      <c r="U179" s="648"/>
      <c r="V179" s="649"/>
    </row>
    <row r="180" spans="3:22" ht="15.75">
      <c r="C180" s="1404"/>
      <c r="D180" s="1417"/>
      <c r="E180" s="770" t="s">
        <v>198</v>
      </c>
      <c r="F180" s="538">
        <v>1</v>
      </c>
      <c r="G180" s="537">
        <v>5000</v>
      </c>
      <c r="H180" s="793">
        <v>0.5</v>
      </c>
      <c r="I180" s="663">
        <f t="shared" si="76"/>
        <v>2500</v>
      </c>
      <c r="J180" s="717"/>
      <c r="K180" s="615"/>
      <c r="L180" s="615"/>
      <c r="M180" s="542">
        <f t="shared" si="77"/>
        <v>0</v>
      </c>
      <c r="N180" s="835">
        <f t="shared" si="78"/>
        <v>2500</v>
      </c>
      <c r="O180" s="542">
        <f t="shared" si="79"/>
        <v>0</v>
      </c>
      <c r="Q180" s="647">
        <f>$I$180/$X$162</f>
        <v>1250</v>
      </c>
      <c r="R180" s="648">
        <f>$I$180/$X$162</f>
        <v>1250</v>
      </c>
      <c r="S180" s="648"/>
      <c r="T180" s="648"/>
      <c r="U180" s="648"/>
      <c r="V180" s="649"/>
    </row>
    <row r="181" spans="3:22" ht="15.75">
      <c r="C181" s="1404"/>
      <c r="D181" s="1417"/>
      <c r="E181" s="770" t="s">
        <v>199</v>
      </c>
      <c r="F181" s="538"/>
      <c r="G181" s="537"/>
      <c r="H181" s="793"/>
      <c r="I181" s="663">
        <f t="shared" si="76"/>
        <v>0</v>
      </c>
      <c r="J181" s="717"/>
      <c r="K181" s="615"/>
      <c r="L181" s="615"/>
      <c r="M181" s="542">
        <f t="shared" si="77"/>
        <v>0</v>
      </c>
      <c r="N181" s="835">
        <f t="shared" si="78"/>
        <v>0</v>
      </c>
      <c r="O181" s="542">
        <f t="shared" si="79"/>
        <v>0</v>
      </c>
      <c r="Q181" s="647">
        <f>I181/$X$162</f>
        <v>0</v>
      </c>
      <c r="R181" s="648"/>
      <c r="S181" s="648"/>
      <c r="T181" s="648"/>
      <c r="U181" s="648"/>
      <c r="V181" s="649"/>
    </row>
    <row r="182" spans="3:22" ht="15.75">
      <c r="C182" s="1404"/>
      <c r="D182" s="1417"/>
      <c r="E182" s="770" t="s">
        <v>200</v>
      </c>
      <c r="F182" s="538"/>
      <c r="G182" s="537"/>
      <c r="H182" s="793"/>
      <c r="I182" s="663"/>
      <c r="J182" s="717"/>
      <c r="K182" s="615"/>
      <c r="L182" s="615"/>
      <c r="M182" s="542">
        <f t="shared" si="77"/>
        <v>0</v>
      </c>
      <c r="N182" s="835">
        <f t="shared" si="78"/>
        <v>0</v>
      </c>
      <c r="O182" s="542">
        <f t="shared" si="79"/>
        <v>0</v>
      </c>
      <c r="Q182" s="647">
        <f>$I$182/$X$162</f>
        <v>0</v>
      </c>
      <c r="R182" s="648">
        <f>$I$182/$X$162</f>
        <v>0</v>
      </c>
      <c r="S182" s="648"/>
      <c r="T182" s="648"/>
      <c r="U182" s="648"/>
      <c r="V182" s="649"/>
    </row>
    <row r="183" spans="3:22" ht="18.75" customHeight="1">
      <c r="C183" s="1404"/>
      <c r="D183" s="1417"/>
      <c r="E183" s="770" t="s">
        <v>201</v>
      </c>
      <c r="F183" s="538"/>
      <c r="G183" s="537"/>
      <c r="H183" s="793"/>
      <c r="I183" s="663"/>
      <c r="J183" s="717"/>
      <c r="K183" s="615"/>
      <c r="L183" s="615"/>
      <c r="M183" s="542">
        <f t="shared" si="77"/>
        <v>0</v>
      </c>
      <c r="N183" s="835">
        <f t="shared" si="78"/>
        <v>0</v>
      </c>
      <c r="O183" s="542">
        <f t="shared" si="79"/>
        <v>0</v>
      </c>
      <c r="Q183" s="647"/>
      <c r="R183" s="648"/>
      <c r="S183" s="648"/>
      <c r="T183" s="648"/>
      <c r="U183" s="648"/>
      <c r="V183" s="649"/>
    </row>
    <row r="184" spans="3:22" ht="15.75">
      <c r="C184" s="1404"/>
      <c r="D184" s="1417"/>
      <c r="E184" s="770" t="s">
        <v>202</v>
      </c>
      <c r="F184" s="538"/>
      <c r="G184" s="537"/>
      <c r="H184" s="793"/>
      <c r="I184" s="663"/>
      <c r="J184" s="717"/>
      <c r="K184" s="615"/>
      <c r="L184" s="615"/>
      <c r="M184" s="542">
        <f t="shared" si="77"/>
        <v>0</v>
      </c>
      <c r="N184" s="835">
        <f t="shared" si="78"/>
        <v>0</v>
      </c>
      <c r="O184" s="542">
        <f t="shared" si="79"/>
        <v>0</v>
      </c>
      <c r="Q184" s="647">
        <f>$I$184/$X$162</f>
        <v>0</v>
      </c>
      <c r="R184" s="648">
        <f>$I$184/$X$162</f>
        <v>0</v>
      </c>
      <c r="S184" s="648"/>
      <c r="T184" s="648"/>
      <c r="U184" s="648"/>
      <c r="V184" s="649"/>
    </row>
    <row r="185" spans="3:22" ht="15.75">
      <c r="C185" s="1404"/>
      <c r="D185" s="1417"/>
      <c r="E185" s="770" t="s">
        <v>203</v>
      </c>
      <c r="F185" s="538">
        <v>1</v>
      </c>
      <c r="G185" s="537">
        <v>1000</v>
      </c>
      <c r="H185" s="793">
        <v>1</v>
      </c>
      <c r="I185" s="663">
        <f t="shared" si="76"/>
        <v>1000</v>
      </c>
      <c r="J185" s="717"/>
      <c r="K185" s="615"/>
      <c r="L185" s="615"/>
      <c r="M185" s="542">
        <f t="shared" si="77"/>
        <v>0</v>
      </c>
      <c r="N185" s="835">
        <f t="shared" si="78"/>
        <v>1000</v>
      </c>
      <c r="O185" s="542">
        <f t="shared" si="79"/>
        <v>0</v>
      </c>
      <c r="Q185" s="647">
        <f>$I$185/$X$162</f>
        <v>500</v>
      </c>
      <c r="R185" s="648">
        <f>$I$185/$X$162</f>
        <v>500</v>
      </c>
      <c r="S185" s="648"/>
      <c r="T185" s="648"/>
      <c r="U185" s="648"/>
      <c r="V185" s="649"/>
    </row>
    <row r="186" spans="3:22" ht="15.75">
      <c r="C186" s="1404"/>
      <c r="D186" s="1417"/>
      <c r="E186" s="770" t="s">
        <v>204</v>
      </c>
      <c r="F186" s="538"/>
      <c r="G186" s="537"/>
      <c r="H186" s="793"/>
      <c r="I186" s="663">
        <f t="shared" si="76"/>
        <v>0</v>
      </c>
      <c r="J186" s="717"/>
      <c r="K186" s="615"/>
      <c r="L186" s="615"/>
      <c r="M186" s="542">
        <f t="shared" si="77"/>
        <v>0</v>
      </c>
      <c r="N186" s="835">
        <f t="shared" si="78"/>
        <v>0</v>
      </c>
      <c r="O186" s="542">
        <f t="shared" si="79"/>
        <v>0</v>
      </c>
      <c r="Q186" s="647"/>
      <c r="R186" s="648"/>
      <c r="S186" s="648"/>
      <c r="T186" s="648"/>
      <c r="U186" s="648"/>
      <c r="V186" s="649"/>
    </row>
    <row r="187" spans="3:22" ht="16.5" thickBot="1">
      <c r="C187" s="1405"/>
      <c r="D187" s="1418"/>
      <c r="E187" s="836" t="s">
        <v>205</v>
      </c>
      <c r="F187" s="577"/>
      <c r="G187" s="576"/>
      <c r="H187" s="793"/>
      <c r="I187" s="667"/>
      <c r="J187" s="718"/>
      <c r="K187" s="623"/>
      <c r="L187" s="623"/>
      <c r="M187" s="719">
        <f t="shared" si="77"/>
        <v>0</v>
      </c>
      <c r="N187" s="837">
        <f t="shared" si="78"/>
        <v>0</v>
      </c>
      <c r="O187" s="719">
        <f t="shared" si="79"/>
        <v>0</v>
      </c>
      <c r="Q187" s="668">
        <f>$I$187/$X$162</f>
        <v>0</v>
      </c>
      <c r="R187" s="669">
        <f>$I$187/$X$162</f>
        <v>0</v>
      </c>
      <c r="S187" s="669"/>
      <c r="T187" s="669"/>
      <c r="U187" s="669"/>
      <c r="V187" s="670"/>
    </row>
    <row r="188" spans="3:22" ht="16.5" thickBot="1">
      <c r="C188" s="777"/>
      <c r="E188" s="838" t="s">
        <v>120</v>
      </c>
      <c r="F188" s="711"/>
      <c r="G188" s="839"/>
      <c r="H188" s="950"/>
      <c r="I188" s="712">
        <f>SUM(I178:I187)</f>
        <v>3500</v>
      </c>
      <c r="J188" s="742"/>
      <c r="K188" s="677"/>
      <c r="L188" s="677"/>
      <c r="M188" s="678">
        <f>SUM(M178:M187)</f>
        <v>0</v>
      </c>
      <c r="N188" s="743">
        <f>SUM(N178:N187)</f>
        <v>3500</v>
      </c>
      <c r="O188" s="678">
        <f>SUM(O178:O187)</f>
        <v>0</v>
      </c>
      <c r="Q188" s="680">
        <f t="shared" ref="Q188:V188" si="80">SUM(Q178:Q187)</f>
        <v>1750</v>
      </c>
      <c r="R188" s="681">
        <f t="shared" si="80"/>
        <v>1750</v>
      </c>
      <c r="S188" s="681">
        <f t="shared" si="80"/>
        <v>0</v>
      </c>
      <c r="T188" s="681">
        <f t="shared" si="80"/>
        <v>0</v>
      </c>
      <c r="U188" s="681">
        <f t="shared" si="80"/>
        <v>0</v>
      </c>
      <c r="V188" s="841">
        <f t="shared" si="80"/>
        <v>0</v>
      </c>
    </row>
    <row r="189" spans="3:22" ht="15.75">
      <c r="C189" s="1403" t="s">
        <v>603</v>
      </c>
      <c r="D189" s="1419" t="s">
        <v>206</v>
      </c>
      <c r="E189" s="842" t="s">
        <v>207</v>
      </c>
      <c r="F189" s="694"/>
      <c r="G189" s="843"/>
      <c r="H189" s="694"/>
      <c r="I189" s="695"/>
      <c r="J189" s="685"/>
      <c r="K189" s="686"/>
      <c r="L189" s="686"/>
      <c r="M189" s="687">
        <f>J189*K189*L189</f>
        <v>0</v>
      </c>
      <c r="N189" s="844">
        <f>IF(I189&gt;M189,I189-M189,0)</f>
        <v>0</v>
      </c>
      <c r="O189" s="687">
        <f>IF(I189&lt;M189,I189-M189,0)</f>
        <v>0</v>
      </c>
      <c r="Q189" s="643">
        <f>$I$189/$W$117</f>
        <v>0</v>
      </c>
      <c r="R189" s="644">
        <f>$I$189/$W$117</f>
        <v>0</v>
      </c>
      <c r="S189" s="644">
        <f>$I$189/$W$117</f>
        <v>0</v>
      </c>
      <c r="T189" s="644">
        <f>$I$189/$W$117</f>
        <v>0</v>
      </c>
      <c r="U189" s="644"/>
      <c r="V189" s="645"/>
    </row>
    <row r="190" spans="3:22" ht="15.75">
      <c r="C190" s="1404"/>
      <c r="D190" s="1420"/>
      <c r="E190" s="770" t="s">
        <v>208</v>
      </c>
      <c r="F190" s="538"/>
      <c r="G190" s="537"/>
      <c r="H190" s="694"/>
      <c r="I190" s="663"/>
      <c r="J190" s="641"/>
      <c r="K190" s="615"/>
      <c r="L190" s="615"/>
      <c r="M190" s="542">
        <f>J190*K190*L190</f>
        <v>0</v>
      </c>
      <c r="N190" s="835">
        <f>IF(I190&gt;M190,I190-M190,0)</f>
        <v>0</v>
      </c>
      <c r="O190" s="542">
        <f>IF(I190&lt;M190,I190-M190,0)</f>
        <v>0</v>
      </c>
      <c r="Q190" s="647"/>
      <c r="R190" s="648"/>
      <c r="S190" s="648"/>
      <c r="T190" s="648"/>
      <c r="U190" s="648"/>
      <c r="V190" s="649"/>
    </row>
    <row r="191" spans="3:22" ht="15.75">
      <c r="C191" s="1404"/>
      <c r="D191" s="1420"/>
      <c r="E191" s="770" t="s">
        <v>209</v>
      </c>
      <c r="F191" s="538"/>
      <c r="G191" s="771"/>
      <c r="H191" s="694"/>
      <c r="I191" s="663">
        <f>F191*G191*H191</f>
        <v>0</v>
      </c>
      <c r="J191" s="641"/>
      <c r="K191" s="615"/>
      <c r="L191" s="615"/>
      <c r="M191" s="542">
        <f>J191*K191*L191</f>
        <v>0</v>
      </c>
      <c r="N191" s="835">
        <f>IF(I191&gt;M191,I191-M191,0)</f>
        <v>0</v>
      </c>
      <c r="O191" s="542">
        <f>IF(I191&lt;M191,I191-M191,0)</f>
        <v>0</v>
      </c>
      <c r="Q191" s="647">
        <f>I191/2</f>
        <v>0</v>
      </c>
      <c r="R191" s="648">
        <f>I191/2</f>
        <v>0</v>
      </c>
      <c r="S191" s="648"/>
      <c r="T191" s="648"/>
      <c r="U191" s="648"/>
      <c r="V191" s="649"/>
    </row>
    <row r="192" spans="3:22" ht="15.75">
      <c r="C192" s="1404"/>
      <c r="D192" s="1420"/>
      <c r="E192" s="770" t="s">
        <v>210</v>
      </c>
      <c r="F192" s="538"/>
      <c r="G192" s="771"/>
      <c r="H192" s="694"/>
      <c r="I192" s="663">
        <f>F192*G192*H192</f>
        <v>0</v>
      </c>
      <c r="J192" s="641"/>
      <c r="K192" s="615"/>
      <c r="L192" s="615"/>
      <c r="M192" s="542">
        <f>J192*K192*L192</f>
        <v>0</v>
      </c>
      <c r="N192" s="835">
        <f>IF(I192&gt;M192,I192-M192,0)</f>
        <v>0</v>
      </c>
      <c r="O192" s="542">
        <f>IF(I192&lt;M192,I192-M192,0)</f>
        <v>0</v>
      </c>
      <c r="Q192" s="647">
        <f>I192/2</f>
        <v>0</v>
      </c>
      <c r="R192" s="648">
        <f>I192/2</f>
        <v>0</v>
      </c>
      <c r="S192" s="648"/>
      <c r="T192" s="648"/>
      <c r="U192" s="648"/>
      <c r="V192" s="649"/>
    </row>
    <row r="193" spans="3:23" ht="16.5" thickBot="1">
      <c r="C193" s="1405"/>
      <c r="D193" s="1421"/>
      <c r="E193" s="836" t="s">
        <v>211</v>
      </c>
      <c r="F193" s="538"/>
      <c r="G193" s="537"/>
      <c r="H193" s="694"/>
      <c r="I193" s="695">
        <f>H193*G193*F193</f>
        <v>0</v>
      </c>
      <c r="J193" s="775"/>
      <c r="K193" s="623"/>
      <c r="L193" s="623"/>
      <c r="M193" s="719">
        <f>J193*K193*L193</f>
        <v>0</v>
      </c>
      <c r="N193" s="837">
        <f>IF(I193&gt;M193,I193-M193,0)</f>
        <v>0</v>
      </c>
      <c r="O193" s="719">
        <f>IF(I193&lt;M193,I193-M193,0)</f>
        <v>0</v>
      </c>
      <c r="Q193" s="668">
        <f>I193</f>
        <v>0</v>
      </c>
      <c r="R193" s="669"/>
      <c r="S193" s="669"/>
      <c r="T193" s="669"/>
      <c r="U193" s="669"/>
      <c r="V193" s="670"/>
    </row>
    <row r="194" spans="3:23" ht="16.5" thickBot="1">
      <c r="C194" s="777"/>
      <c r="E194" s="838" t="s">
        <v>120</v>
      </c>
      <c r="F194" s="711"/>
      <c r="G194" s="839"/>
      <c r="H194" s="840"/>
      <c r="I194" s="712">
        <f>SUM(I189:I193)</f>
        <v>0</v>
      </c>
      <c r="J194" s="742"/>
      <c r="K194" s="677"/>
      <c r="L194" s="677"/>
      <c r="M194" s="678">
        <f>SUM(M189:M193)</f>
        <v>0</v>
      </c>
      <c r="N194" s="743">
        <f>SUM(N189:N193)</f>
        <v>0</v>
      </c>
      <c r="O194" s="678">
        <f>SUM(O189:O193)</f>
        <v>0</v>
      </c>
      <c r="Q194" s="845">
        <f t="shared" ref="Q194:V194" si="81">SUM(Q189:Q193)</f>
        <v>0</v>
      </c>
      <c r="R194" s="846">
        <f t="shared" si="81"/>
        <v>0</v>
      </c>
      <c r="S194" s="846">
        <f t="shared" si="81"/>
        <v>0</v>
      </c>
      <c r="T194" s="846">
        <f t="shared" si="81"/>
        <v>0</v>
      </c>
      <c r="U194" s="846">
        <f t="shared" si="81"/>
        <v>0</v>
      </c>
      <c r="V194" s="846">
        <f t="shared" si="81"/>
        <v>0</v>
      </c>
    </row>
    <row r="195" spans="3:23" ht="15.75">
      <c r="C195" s="1403" t="s">
        <v>559</v>
      </c>
      <c r="D195" s="1416" t="s">
        <v>212</v>
      </c>
      <c r="E195" s="842" t="s">
        <v>213</v>
      </c>
      <c r="F195" s="538">
        <f>SUM(F166:F169)</f>
        <v>3</v>
      </c>
      <c r="G195" s="537">
        <v>150</v>
      </c>
      <c r="H195" s="807">
        <v>10</v>
      </c>
      <c r="I195" s="695">
        <f t="shared" ref="I195:I201" si="82">H195*G195*F195</f>
        <v>4500</v>
      </c>
      <c r="J195" s="685"/>
      <c r="K195" s="686"/>
      <c r="L195" s="686"/>
      <c r="M195" s="687">
        <f t="shared" ref="M195:M201" si="83">J195*K195*L195</f>
        <v>0</v>
      </c>
      <c r="N195" s="847">
        <f t="shared" ref="N195:N201" si="84">IF(I195&gt;M195,I195-M195,0)</f>
        <v>4500</v>
      </c>
      <c r="O195" s="687">
        <f t="shared" ref="O195:O201" si="85">IF(I195&lt;M195,I195-M195,0)</f>
        <v>0</v>
      </c>
      <c r="Q195" s="647"/>
      <c r="R195" s="648"/>
      <c r="S195" s="648"/>
      <c r="T195" s="648">
        <f>$G$195*$F$195</f>
        <v>450</v>
      </c>
      <c r="U195" s="648">
        <f>$G$195*$F$195</f>
        <v>450</v>
      </c>
      <c r="V195" s="648">
        <f>$G$195*$F$195</f>
        <v>450</v>
      </c>
      <c r="W195" s="758" t="e">
        <f>SUM(Q213:V213)</f>
        <v>#REF!</v>
      </c>
    </row>
    <row r="196" spans="3:23" ht="15.75">
      <c r="C196" s="1404"/>
      <c r="D196" s="1417"/>
      <c r="E196" s="842" t="s">
        <v>609</v>
      </c>
      <c r="F196" s="538">
        <f>F148+F149</f>
        <v>2</v>
      </c>
      <c r="G196" s="537">
        <v>287</v>
      </c>
      <c r="H196" s="807">
        <v>6</v>
      </c>
      <c r="I196" s="695">
        <f t="shared" si="82"/>
        <v>3444</v>
      </c>
      <c r="J196" s="685"/>
      <c r="K196" s="686"/>
      <c r="L196" s="686"/>
      <c r="M196" s="687"/>
      <c r="N196" s="848"/>
      <c r="O196" s="687"/>
      <c r="Q196" s="647"/>
      <c r="R196" s="648"/>
      <c r="S196" s="648"/>
      <c r="T196" s="648"/>
      <c r="U196" s="648"/>
      <c r="V196" s="648"/>
      <c r="W196" s="758"/>
    </row>
    <row r="197" spans="3:23" ht="15.75">
      <c r="C197" s="1404"/>
      <c r="D197" s="1417"/>
      <c r="E197" s="770" t="s">
        <v>214</v>
      </c>
      <c r="F197" s="538">
        <v>1</v>
      </c>
      <c r="G197" s="537">
        <v>1000</v>
      </c>
      <c r="H197" s="807">
        <v>8</v>
      </c>
      <c r="I197" s="695">
        <f t="shared" si="82"/>
        <v>8000</v>
      </c>
      <c r="J197" s="641"/>
      <c r="K197" s="615"/>
      <c r="L197" s="615"/>
      <c r="M197" s="542">
        <f t="shared" si="83"/>
        <v>0</v>
      </c>
      <c r="N197" s="835">
        <f t="shared" si="84"/>
        <v>8000</v>
      </c>
      <c r="O197" s="542">
        <f t="shared" si="85"/>
        <v>0</v>
      </c>
      <c r="Q197" s="647"/>
      <c r="R197" s="648"/>
      <c r="S197" s="648"/>
      <c r="T197" s="648">
        <f>$G$197</f>
        <v>1000</v>
      </c>
      <c r="U197" s="648">
        <f>$G$197</f>
        <v>1000</v>
      </c>
      <c r="V197" s="648">
        <f>$G$197</f>
        <v>1000</v>
      </c>
    </row>
    <row r="198" spans="3:23" ht="15.75">
      <c r="C198" s="1404"/>
      <c r="D198" s="1417"/>
      <c r="E198" s="770" t="s">
        <v>215</v>
      </c>
      <c r="F198" s="538"/>
      <c r="G198" s="537"/>
      <c r="H198" s="807"/>
      <c r="I198" s="695"/>
      <c r="J198" s="641"/>
      <c r="K198" s="615"/>
      <c r="L198" s="615"/>
      <c r="M198" s="542">
        <f t="shared" si="83"/>
        <v>0</v>
      </c>
      <c r="N198" s="835">
        <f t="shared" si="84"/>
        <v>0</v>
      </c>
      <c r="O198" s="542">
        <f t="shared" si="85"/>
        <v>0</v>
      </c>
      <c r="Q198" s="647"/>
      <c r="R198" s="648"/>
      <c r="S198" s="648"/>
      <c r="T198" s="648">
        <f>$G$198</f>
        <v>0</v>
      </c>
      <c r="U198" s="648">
        <f>$G$198</f>
        <v>0</v>
      </c>
      <c r="V198" s="648">
        <f>$G$198</f>
        <v>0</v>
      </c>
    </row>
    <row r="199" spans="3:23" ht="15.75">
      <c r="C199" s="1404"/>
      <c r="D199" s="1417"/>
      <c r="E199" s="770" t="s">
        <v>216</v>
      </c>
      <c r="F199" s="538">
        <v>1</v>
      </c>
      <c r="G199" s="537">
        <v>300</v>
      </c>
      <c r="H199" s="807">
        <v>10</v>
      </c>
      <c r="I199" s="695">
        <f t="shared" si="82"/>
        <v>3000</v>
      </c>
      <c r="J199" s="641"/>
      <c r="K199" s="615"/>
      <c r="L199" s="615"/>
      <c r="M199" s="542">
        <f t="shared" si="83"/>
        <v>0</v>
      </c>
      <c r="N199" s="541">
        <f t="shared" si="84"/>
        <v>3000</v>
      </c>
      <c r="O199" s="542">
        <f t="shared" si="85"/>
        <v>0</v>
      </c>
      <c r="Q199" s="647"/>
      <c r="R199" s="648"/>
      <c r="S199" s="648"/>
      <c r="T199" s="648">
        <f>$G$199*$F$199</f>
        <v>300</v>
      </c>
      <c r="U199" s="648">
        <f>$G$199*$F$199</f>
        <v>300</v>
      </c>
      <c r="V199" s="648">
        <f>$G$199*$F$199</f>
        <v>300</v>
      </c>
    </row>
    <row r="200" spans="3:23" ht="15.75">
      <c r="C200" s="1404"/>
      <c r="D200" s="1417"/>
      <c r="E200" s="770" t="s">
        <v>217</v>
      </c>
      <c r="F200" s="538"/>
      <c r="G200" s="537"/>
      <c r="H200" s="807"/>
      <c r="I200" s="695">
        <f t="shared" si="82"/>
        <v>0</v>
      </c>
      <c r="J200" s="641"/>
      <c r="K200" s="615"/>
      <c r="L200" s="615"/>
      <c r="M200" s="542">
        <f t="shared" si="83"/>
        <v>0</v>
      </c>
      <c r="N200" s="541">
        <f t="shared" si="84"/>
        <v>0</v>
      </c>
      <c r="O200" s="542">
        <f t="shared" si="85"/>
        <v>0</v>
      </c>
      <c r="Q200" s="647"/>
      <c r="R200" s="648"/>
      <c r="S200" s="648"/>
      <c r="T200" s="648"/>
      <c r="U200" s="648"/>
      <c r="V200" s="649"/>
    </row>
    <row r="201" spans="3:23" ht="16.5" thickBot="1">
      <c r="C201" s="1405"/>
      <c r="D201" s="1418"/>
      <c r="E201" s="849" t="s">
        <v>218</v>
      </c>
      <c r="F201" s="733"/>
      <c r="G201" s="620"/>
      <c r="H201" s="807"/>
      <c r="I201" s="695">
        <f t="shared" si="82"/>
        <v>0</v>
      </c>
      <c r="J201" s="696"/>
      <c r="K201" s="697"/>
      <c r="L201" s="697"/>
      <c r="M201" s="719">
        <f t="shared" si="83"/>
        <v>0</v>
      </c>
      <c r="N201" s="837">
        <f t="shared" si="84"/>
        <v>0</v>
      </c>
      <c r="O201" s="719">
        <f t="shared" si="85"/>
        <v>0</v>
      </c>
      <c r="Q201" s="647"/>
      <c r="R201" s="648"/>
      <c r="S201" s="648"/>
      <c r="T201" s="648"/>
      <c r="U201" s="648"/>
      <c r="V201" s="649"/>
    </row>
    <row r="202" spans="3:23" ht="16.5" thickBot="1">
      <c r="C202" s="777"/>
      <c r="E202" s="838" t="s">
        <v>120</v>
      </c>
      <c r="F202" s="711"/>
      <c r="G202" s="839"/>
      <c r="H202" s="951"/>
      <c r="I202" s="712">
        <f>SUM(I195:I201)</f>
        <v>18944</v>
      </c>
      <c r="J202" s="742"/>
      <c r="K202" s="677"/>
      <c r="L202" s="677"/>
      <c r="M202" s="678">
        <f>SUM(M195:M201)</f>
        <v>0</v>
      </c>
      <c r="N202" s="743">
        <f>SUM(N195:N201)</f>
        <v>15500</v>
      </c>
      <c r="O202" s="678">
        <f>SUM(O195:O201)</f>
        <v>0</v>
      </c>
      <c r="Q202" s="787">
        <f t="shared" ref="Q202:V202" si="86">SUM(Q195:Q201)</f>
        <v>0</v>
      </c>
      <c r="R202" s="788">
        <f t="shared" si="86"/>
        <v>0</v>
      </c>
      <c r="S202" s="788">
        <f t="shared" si="86"/>
        <v>0</v>
      </c>
      <c r="T202" s="788">
        <f t="shared" si="86"/>
        <v>1750</v>
      </c>
      <c r="U202" s="788">
        <f t="shared" si="86"/>
        <v>1750</v>
      </c>
      <c r="V202" s="788">
        <f t="shared" si="86"/>
        <v>1750</v>
      </c>
    </row>
    <row r="203" spans="3:23" ht="15.75" customHeight="1">
      <c r="C203" s="1403" t="s">
        <v>603</v>
      </c>
      <c r="D203" s="1406" t="s">
        <v>610</v>
      </c>
      <c r="E203" s="842" t="s">
        <v>219</v>
      </c>
      <c r="F203" s="694">
        <v>1</v>
      </c>
      <c r="G203" s="843">
        <v>1000</v>
      </c>
      <c r="H203" s="807">
        <v>0.2</v>
      </c>
      <c r="I203" s="695">
        <f t="shared" ref="I203:I209" si="87">F203*G203*H203</f>
        <v>200</v>
      </c>
      <c r="J203" s="685"/>
      <c r="K203" s="686"/>
      <c r="L203" s="686"/>
      <c r="M203" s="687">
        <f t="shared" ref="M203:M210" si="88">J203*K203*L203</f>
        <v>0</v>
      </c>
      <c r="N203" s="844">
        <f t="shared" ref="N203:N210" si="89">IF(I203&gt;M203,I203-M203,0)</f>
        <v>200</v>
      </c>
      <c r="O203" s="687">
        <f t="shared" ref="O203:O210" si="90">IF(I203&lt;M203,I203-M203,0)</f>
        <v>0</v>
      </c>
      <c r="Q203" s="643">
        <f>$I$203/$W$117</f>
        <v>50</v>
      </c>
      <c r="R203" s="644">
        <f>$I$203/$W$117</f>
        <v>50</v>
      </c>
      <c r="S203" s="644">
        <f>$I$203/$W$117</f>
        <v>50</v>
      </c>
      <c r="T203" s="644">
        <f>$I$203/$W$117</f>
        <v>50</v>
      </c>
      <c r="U203" s="644"/>
      <c r="V203" s="645"/>
    </row>
    <row r="204" spans="3:23" ht="19.5" customHeight="1">
      <c r="C204" s="1404"/>
      <c r="D204" s="1407"/>
      <c r="E204" s="770" t="s">
        <v>220</v>
      </c>
      <c r="F204" s="538">
        <v>1</v>
      </c>
      <c r="G204" s="537">
        <v>10000</v>
      </c>
      <c r="H204" s="807">
        <v>0.2</v>
      </c>
      <c r="I204" s="663">
        <f t="shared" si="87"/>
        <v>2000</v>
      </c>
      <c r="J204" s="641"/>
      <c r="K204" s="615"/>
      <c r="L204" s="615"/>
      <c r="M204" s="542">
        <f t="shared" si="88"/>
        <v>0</v>
      </c>
      <c r="N204" s="835">
        <f t="shared" si="89"/>
        <v>2000</v>
      </c>
      <c r="O204" s="542">
        <f t="shared" si="90"/>
        <v>0</v>
      </c>
      <c r="Q204" s="647">
        <f>$I$204/$W$117</f>
        <v>500</v>
      </c>
      <c r="R204" s="648">
        <f>$I$204/$W$117</f>
        <v>500</v>
      </c>
      <c r="S204" s="648">
        <f>$I$204/$W$117</f>
        <v>500</v>
      </c>
      <c r="T204" s="648">
        <f>$I$204/$W$117</f>
        <v>500</v>
      </c>
      <c r="U204" s="648"/>
      <c r="V204" s="649"/>
    </row>
    <row r="205" spans="3:23" ht="15.75">
      <c r="C205" s="1404"/>
      <c r="D205" s="1407"/>
      <c r="E205" s="770" t="s">
        <v>221</v>
      </c>
      <c r="F205" s="538"/>
      <c r="G205" s="537"/>
      <c r="H205" s="807"/>
      <c r="I205" s="663"/>
      <c r="J205" s="641"/>
      <c r="K205" s="615"/>
      <c r="L205" s="615"/>
      <c r="M205" s="542">
        <f t="shared" si="88"/>
        <v>0</v>
      </c>
      <c r="N205" s="835">
        <f t="shared" si="89"/>
        <v>0</v>
      </c>
      <c r="O205" s="542">
        <f t="shared" si="90"/>
        <v>0</v>
      </c>
      <c r="Q205" s="647">
        <f>$I$205/$W$117</f>
        <v>0</v>
      </c>
      <c r="R205" s="648">
        <f>$I$205/$W$117</f>
        <v>0</v>
      </c>
      <c r="S205" s="648">
        <f>$I$205/$W$117</f>
        <v>0</v>
      </c>
      <c r="T205" s="648">
        <f>$I$205/$W$117</f>
        <v>0</v>
      </c>
      <c r="U205" s="648"/>
      <c r="V205" s="649"/>
    </row>
    <row r="206" spans="3:23" ht="15.75">
      <c r="C206" s="1404"/>
      <c r="D206" s="1407"/>
      <c r="E206" s="770" t="s">
        <v>222</v>
      </c>
      <c r="F206" s="538"/>
      <c r="G206" s="537"/>
      <c r="H206" s="807"/>
      <c r="I206" s="663"/>
      <c r="J206" s="641"/>
      <c r="K206" s="615"/>
      <c r="L206" s="615"/>
      <c r="M206" s="542">
        <f t="shared" si="88"/>
        <v>0</v>
      </c>
      <c r="N206" s="835">
        <f t="shared" si="89"/>
        <v>0</v>
      </c>
      <c r="O206" s="542">
        <f t="shared" si="90"/>
        <v>0</v>
      </c>
      <c r="Q206" s="647">
        <f>$I$206/$W$117</f>
        <v>0</v>
      </c>
      <c r="R206" s="648">
        <f>$I$206/$W$117</f>
        <v>0</v>
      </c>
      <c r="S206" s="648">
        <f>$I$206/$W$117</f>
        <v>0</v>
      </c>
      <c r="T206" s="648">
        <f>$I$206/$W$117</f>
        <v>0</v>
      </c>
      <c r="U206" s="648"/>
      <c r="V206" s="649"/>
    </row>
    <row r="207" spans="3:23" ht="15.75">
      <c r="C207" s="1404"/>
      <c r="D207" s="1407"/>
      <c r="E207" s="770" t="s">
        <v>223</v>
      </c>
      <c r="F207" s="538">
        <v>1</v>
      </c>
      <c r="G207" s="537">
        <v>1000</v>
      </c>
      <c r="H207" s="807">
        <v>0.2</v>
      </c>
      <c r="I207" s="663">
        <f t="shared" si="87"/>
        <v>200</v>
      </c>
      <c r="J207" s="641"/>
      <c r="K207" s="615"/>
      <c r="L207" s="615"/>
      <c r="M207" s="542">
        <f t="shared" si="88"/>
        <v>0</v>
      </c>
      <c r="N207" s="835">
        <f t="shared" si="89"/>
        <v>200</v>
      </c>
      <c r="O207" s="542">
        <f t="shared" si="90"/>
        <v>0</v>
      </c>
      <c r="Q207" s="647">
        <f>$I$207/$W$117</f>
        <v>50</v>
      </c>
      <c r="R207" s="648">
        <f>$I$207/$W$117</f>
        <v>50</v>
      </c>
      <c r="S207" s="648">
        <f>$I$207/$W$117</f>
        <v>50</v>
      </c>
      <c r="T207" s="648">
        <f>$I$207/$W$117</f>
        <v>50</v>
      </c>
      <c r="U207" s="648"/>
      <c r="V207" s="649"/>
    </row>
    <row r="208" spans="3:23" ht="21" customHeight="1">
      <c r="C208" s="1404"/>
      <c r="D208" s="1407"/>
      <c r="E208" s="850" t="s">
        <v>224</v>
      </c>
      <c r="F208" s="538">
        <v>1</v>
      </c>
      <c r="G208" s="537">
        <v>1000</v>
      </c>
      <c r="H208" s="807">
        <v>0.2</v>
      </c>
      <c r="I208" s="663">
        <f t="shared" si="87"/>
        <v>200</v>
      </c>
      <c r="J208" s="641"/>
      <c r="K208" s="615"/>
      <c r="L208" s="615"/>
      <c r="M208" s="542">
        <f t="shared" si="88"/>
        <v>0</v>
      </c>
      <c r="N208" s="835">
        <f t="shared" si="89"/>
        <v>200</v>
      </c>
      <c r="O208" s="542">
        <f t="shared" si="90"/>
        <v>0</v>
      </c>
      <c r="Q208" s="647">
        <f>$I$208/$W$117</f>
        <v>50</v>
      </c>
      <c r="R208" s="648">
        <f>$I$208/$W$117</f>
        <v>50</v>
      </c>
      <c r="S208" s="648">
        <f>$I$208/$W$117</f>
        <v>50</v>
      </c>
      <c r="T208" s="648">
        <f>$I$208/$W$117</f>
        <v>50</v>
      </c>
      <c r="U208" s="648"/>
      <c r="V208" s="649"/>
    </row>
    <row r="209" spans="1:22" ht="15.75">
      <c r="C209" s="1404"/>
      <c r="D209" s="1407"/>
      <c r="E209" s="770" t="s">
        <v>225</v>
      </c>
      <c r="F209" s="538"/>
      <c r="G209" s="537"/>
      <c r="H209" s="807"/>
      <c r="I209" s="801">
        <f t="shared" si="87"/>
        <v>0</v>
      </c>
      <c r="J209" s="641"/>
      <c r="K209" s="615"/>
      <c r="L209" s="615"/>
      <c r="M209" s="542">
        <f t="shared" si="88"/>
        <v>0</v>
      </c>
      <c r="N209" s="835">
        <f t="shared" si="89"/>
        <v>0</v>
      </c>
      <c r="O209" s="542">
        <f t="shared" si="90"/>
        <v>0</v>
      </c>
      <c r="Q209" s="647"/>
      <c r="R209" s="648"/>
      <c r="S209" s="648"/>
      <c r="T209" s="648"/>
      <c r="U209" s="648"/>
      <c r="V209" s="649"/>
    </row>
    <row r="210" spans="1:22" ht="16.5" thickBot="1">
      <c r="C210" s="1405"/>
      <c r="D210" s="1408"/>
      <c r="E210" s="836" t="s">
        <v>226</v>
      </c>
      <c r="F210" s="538"/>
      <c r="G210" s="537"/>
      <c r="H210" s="807"/>
      <c r="I210" s="801">
        <f>F210*G210*H210</f>
        <v>0</v>
      </c>
      <c r="J210" s="775"/>
      <c r="K210" s="623"/>
      <c r="L210" s="623"/>
      <c r="M210" s="719">
        <f t="shared" si="88"/>
        <v>0</v>
      </c>
      <c r="N210" s="837">
        <f t="shared" si="89"/>
        <v>0</v>
      </c>
      <c r="O210" s="719">
        <f t="shared" si="90"/>
        <v>0</v>
      </c>
      <c r="Q210" s="647"/>
      <c r="R210" s="648"/>
      <c r="S210" s="648"/>
      <c r="T210" s="648"/>
      <c r="U210" s="648"/>
      <c r="V210" s="649"/>
    </row>
    <row r="211" spans="1:22" ht="16.5" thickBot="1">
      <c r="C211" s="624"/>
      <c r="D211" s="650"/>
      <c r="E211" s="851" t="s">
        <v>120</v>
      </c>
      <c r="F211" s="852"/>
      <c r="G211" s="853"/>
      <c r="H211" s="952"/>
      <c r="I211" s="854">
        <f>SUM(I203:I210)</f>
        <v>2600</v>
      </c>
      <c r="J211" s="855"/>
      <c r="K211" s="852"/>
      <c r="L211" s="852"/>
      <c r="M211" s="856">
        <f>SUM(M203:M210)</f>
        <v>0</v>
      </c>
      <c r="N211" s="857">
        <f>SUM(N203:N210)</f>
        <v>2600</v>
      </c>
      <c r="O211" s="856">
        <f>SUM(O203:O210)</f>
        <v>0</v>
      </c>
      <c r="Q211" s="845">
        <f>SUM(Q203:Q210)</f>
        <v>650</v>
      </c>
      <c r="R211" s="846">
        <f>SUM(R203:R210)</f>
        <v>650</v>
      </c>
      <c r="S211" s="846">
        <f>SUM(S203:S210)</f>
        <v>650</v>
      </c>
      <c r="T211" s="846">
        <f>SUM(T203:T210)</f>
        <v>650</v>
      </c>
      <c r="U211" s="846"/>
      <c r="V211" s="858"/>
    </row>
    <row r="212" spans="1:22" ht="16.5" thickBot="1">
      <c r="C212" s="624"/>
      <c r="E212" s="626" t="s">
        <v>110</v>
      </c>
      <c r="F212" s="859"/>
      <c r="G212" s="860"/>
      <c r="H212" s="953"/>
      <c r="I212" s="860">
        <f>I188+I194+I202+I211</f>
        <v>25044</v>
      </c>
      <c r="J212" s="859"/>
      <c r="K212" s="859"/>
      <c r="L212" s="859"/>
      <c r="M212" s="859"/>
      <c r="N212" s="861"/>
      <c r="O212" s="862"/>
      <c r="Q212" s="599">
        <f t="shared" ref="Q212:V212" si="91">Q211+Q202+Q194+Q188</f>
        <v>2400</v>
      </c>
      <c r="R212" s="600">
        <f t="shared" si="91"/>
        <v>2400</v>
      </c>
      <c r="S212" s="600">
        <f t="shared" si="91"/>
        <v>650</v>
      </c>
      <c r="T212" s="600">
        <f t="shared" si="91"/>
        <v>2400</v>
      </c>
      <c r="U212" s="600">
        <f t="shared" si="91"/>
        <v>1750</v>
      </c>
      <c r="V212" s="600">
        <f t="shared" si="91"/>
        <v>1750</v>
      </c>
    </row>
    <row r="213" spans="1:22" ht="15.75">
      <c r="C213" s="624"/>
      <c r="D213" s="650"/>
      <c r="E213" s="863"/>
      <c r="F213" s="754"/>
      <c r="G213" s="864"/>
      <c r="H213" s="754"/>
      <c r="I213" s="864"/>
      <c r="J213" s="754"/>
      <c r="K213" s="754"/>
      <c r="L213" s="754"/>
      <c r="M213" s="754"/>
      <c r="N213" s="865"/>
      <c r="O213" s="754"/>
      <c r="Q213" s="758" t="e">
        <f t="shared" ref="Q213:V213" si="92">Q22+Q32+Q132+Q173+Q212</f>
        <v>#REF!</v>
      </c>
      <c r="R213" s="758" t="e">
        <f t="shared" si="92"/>
        <v>#REF!</v>
      </c>
      <c r="S213" s="758" t="e">
        <f t="shared" si="92"/>
        <v>#REF!</v>
      </c>
      <c r="T213" s="758" t="e">
        <f t="shared" si="92"/>
        <v>#REF!</v>
      </c>
      <c r="U213" s="758" t="e">
        <f t="shared" si="92"/>
        <v>#REF!</v>
      </c>
      <c r="V213" s="758" t="e">
        <f t="shared" si="92"/>
        <v>#REF!</v>
      </c>
    </row>
    <row r="214" spans="1:22" s="866" customFormat="1" ht="15.75">
      <c r="A214" s="652"/>
      <c r="B214" s="652"/>
      <c r="C214" s="624"/>
      <c r="D214" s="650"/>
      <c r="E214" s="863"/>
      <c r="F214" s="754"/>
      <c r="G214" s="864"/>
      <c r="H214" s="754"/>
      <c r="I214" s="864"/>
      <c r="J214" s="754"/>
      <c r="K214" s="754"/>
      <c r="L214" s="754"/>
      <c r="M214" s="754"/>
      <c r="N214" s="865"/>
      <c r="O214" s="754"/>
      <c r="P214" s="483"/>
      <c r="Q214" s="552"/>
      <c r="R214" s="552"/>
      <c r="S214" s="552"/>
      <c r="T214" s="552"/>
      <c r="U214" s="552"/>
      <c r="V214" s="552"/>
    </row>
    <row r="215" spans="1:22" ht="15.75">
      <c r="C215" s="624"/>
      <c r="D215" s="650"/>
      <c r="E215" s="863"/>
      <c r="F215" s="754"/>
      <c r="G215" s="864"/>
      <c r="H215" s="754"/>
      <c r="I215" s="864"/>
      <c r="J215" s="754"/>
      <c r="K215" s="754"/>
      <c r="L215" s="754"/>
      <c r="M215" s="754"/>
      <c r="N215" s="865"/>
      <c r="O215" s="754"/>
      <c r="Q215" s="552"/>
      <c r="R215" s="552"/>
      <c r="S215" s="552"/>
      <c r="T215" s="552"/>
      <c r="U215" s="552"/>
      <c r="V215" s="552"/>
    </row>
    <row r="216" spans="1:22" ht="16.5" thickBot="1">
      <c r="C216" s="624"/>
      <c r="D216" s="650"/>
      <c r="E216" s="863"/>
      <c r="F216" s="754"/>
      <c r="G216" s="864"/>
      <c r="H216" s="754"/>
      <c r="I216" s="864"/>
      <c r="J216" s="754"/>
      <c r="K216" s="754"/>
      <c r="L216" s="754"/>
      <c r="M216" s="754"/>
      <c r="N216" s="865"/>
      <c r="O216" s="754"/>
      <c r="Q216" s="552"/>
      <c r="R216" s="552"/>
      <c r="S216" s="552"/>
      <c r="T216" s="552"/>
      <c r="U216" s="552"/>
      <c r="V216" s="552"/>
    </row>
    <row r="217" spans="1:22" ht="16.5" thickBot="1">
      <c r="C217" s="624"/>
      <c r="D217" s="650"/>
      <c r="E217" s="867" t="s">
        <v>611</v>
      </c>
      <c r="F217" s="868"/>
      <c r="G217" s="869"/>
      <c r="H217" s="870"/>
      <c r="I217" s="871" t="e">
        <f>I22+I32+I132+I173+I212</f>
        <v>#REF!</v>
      </c>
      <c r="J217" s="872"/>
      <c r="K217" s="872"/>
      <c r="L217" s="872"/>
      <c r="M217" s="873" t="e">
        <f>M7+#REF!+M113+#REF!+#REF!+M209</f>
        <v>#REF!</v>
      </c>
      <c r="N217" s="874" t="e">
        <f>N7+#REF!+N113+#REF!+#REF!+N209</f>
        <v>#REF!</v>
      </c>
      <c r="O217" s="875" t="e">
        <f>O7+#REF!+O113+#REF!+#REF!+O209</f>
        <v>#REF!</v>
      </c>
      <c r="Q217" s="552"/>
      <c r="R217" s="552"/>
      <c r="S217" s="552"/>
      <c r="T217" s="552"/>
      <c r="U217" s="552"/>
      <c r="V217" s="552"/>
    </row>
    <row r="218" spans="1:22" ht="16.5" thickBot="1">
      <c r="C218" s="624"/>
      <c r="D218" s="650"/>
      <c r="E218" s="876"/>
      <c r="F218" s="877"/>
      <c r="G218" s="878"/>
      <c r="H218" s="877"/>
      <c r="I218" s="879"/>
      <c r="J218" s="880"/>
      <c r="K218" s="880"/>
      <c r="L218" s="880"/>
      <c r="M218" s="880"/>
      <c r="N218" s="881"/>
      <c r="O218" s="877"/>
      <c r="Q218" s="552"/>
      <c r="R218" s="552"/>
      <c r="S218" s="552"/>
      <c r="T218" s="552"/>
      <c r="U218" s="552"/>
      <c r="V218" s="552"/>
    </row>
    <row r="219" spans="1:22" ht="13.5" thickBot="1">
      <c r="C219" s="491">
        <v>6</v>
      </c>
      <c r="E219" s="820"/>
      <c r="F219" s="1409" t="s">
        <v>276</v>
      </c>
      <c r="G219" s="1410"/>
      <c r="H219" s="1410"/>
      <c r="I219" s="1411"/>
      <c r="J219" s="1412" t="s">
        <v>277</v>
      </c>
      <c r="K219" s="1412"/>
      <c r="L219" s="1412"/>
      <c r="M219" s="1413"/>
      <c r="N219" s="1414" t="s">
        <v>103</v>
      </c>
      <c r="O219" s="1415"/>
      <c r="Q219" s="552"/>
      <c r="R219" s="552"/>
      <c r="S219" s="552"/>
      <c r="T219" s="552"/>
      <c r="U219" s="552"/>
      <c r="V219" s="552"/>
    </row>
    <row r="220" spans="1:22" ht="18.75" thickBot="1">
      <c r="E220" s="821" t="s">
        <v>612</v>
      </c>
      <c r="F220" s="822" t="s">
        <v>104</v>
      </c>
      <c r="G220" s="823" t="s">
        <v>105</v>
      </c>
      <c r="H220" s="824" t="s">
        <v>166</v>
      </c>
      <c r="I220" s="825" t="s">
        <v>107</v>
      </c>
      <c r="J220" s="882" t="s">
        <v>104</v>
      </c>
      <c r="K220" s="827" t="s">
        <v>105</v>
      </c>
      <c r="L220" s="828" t="s">
        <v>166</v>
      </c>
      <c r="M220" s="829" t="s">
        <v>107</v>
      </c>
      <c r="N220" s="830" t="s">
        <v>108</v>
      </c>
      <c r="O220" s="831" t="s">
        <v>109</v>
      </c>
      <c r="Q220" s="552"/>
      <c r="R220" s="552"/>
      <c r="S220" s="552"/>
      <c r="T220" s="552"/>
      <c r="U220" s="552"/>
      <c r="V220" s="552"/>
    </row>
    <row r="221" spans="1:22" ht="15.75">
      <c r="C221" s="1403" t="s">
        <v>559</v>
      </c>
      <c r="D221" s="1406" t="s">
        <v>227</v>
      </c>
      <c r="E221" s="764" t="s">
        <v>228</v>
      </c>
      <c r="F221" s="883">
        <v>0.02</v>
      </c>
      <c r="G221" s="884" t="e">
        <f>I217</f>
        <v>#REF!</v>
      </c>
      <c r="H221" s="694">
        <v>1</v>
      </c>
      <c r="I221" s="885" t="e">
        <f>F221*G221*H221</f>
        <v>#REF!</v>
      </c>
      <c r="J221" s="767"/>
      <c r="K221" s="768"/>
      <c r="L221" s="768"/>
      <c r="M221" s="768">
        <f>J221*K221*L221</f>
        <v>0</v>
      </c>
      <c r="N221" s="525" t="e">
        <f>IF(I221&gt;M221,I221-M221,0)</f>
        <v>#REF!</v>
      </c>
      <c r="O221" s="526" t="e">
        <f>IF(I221&lt;M221,I221-M221,0)</f>
        <v>#REF!</v>
      </c>
      <c r="Q221" s="552"/>
      <c r="R221" s="552"/>
      <c r="S221" s="552"/>
      <c r="T221" s="552"/>
      <c r="U221" s="552"/>
      <c r="V221" s="552"/>
    </row>
    <row r="222" spans="1:22" ht="15.75">
      <c r="C222" s="1404"/>
      <c r="D222" s="1407"/>
      <c r="E222" s="770" t="s">
        <v>229</v>
      </c>
      <c r="F222" s="886">
        <v>0.02</v>
      </c>
      <c r="G222" s="887" t="e">
        <f>I217+I221</f>
        <v>#REF!</v>
      </c>
      <c r="H222" s="694">
        <v>1</v>
      </c>
      <c r="I222" s="888" t="e">
        <f>F222*G222*H222</f>
        <v>#REF!</v>
      </c>
      <c r="J222" s="641"/>
      <c r="K222" s="615"/>
      <c r="L222" s="615"/>
      <c r="M222" s="615">
        <f>J222*K222*L222</f>
        <v>0</v>
      </c>
      <c r="N222" s="541" t="e">
        <f>IF(I222&gt;M222,I222-M222,0)</f>
        <v>#REF!</v>
      </c>
      <c r="O222" s="542" t="e">
        <f>IF(I222&lt;M222,I222-M222,0)</f>
        <v>#REF!</v>
      </c>
      <c r="Q222" s="552"/>
      <c r="R222" s="552"/>
      <c r="S222" s="552"/>
      <c r="T222" s="552"/>
      <c r="U222" s="552"/>
      <c r="V222" s="552"/>
    </row>
    <row r="223" spans="1:22" ht="15.75">
      <c r="C223" s="1404"/>
      <c r="D223" s="1407"/>
      <c r="E223" s="770" t="s">
        <v>230</v>
      </c>
      <c r="F223" s="886"/>
      <c r="G223" s="887"/>
      <c r="H223" s="694"/>
      <c r="I223" s="888">
        <f>F223*G223*H223</f>
        <v>0</v>
      </c>
      <c r="J223" s="641"/>
      <c r="K223" s="615"/>
      <c r="L223" s="615"/>
      <c r="M223" s="615">
        <f>J223*K223*L223</f>
        <v>0</v>
      </c>
      <c r="N223" s="541">
        <f>IF(I223&gt;M223,I223-M223,0)</f>
        <v>0</v>
      </c>
      <c r="O223" s="542">
        <f>IF(I223&lt;M223,I223-M223,0)</f>
        <v>0</v>
      </c>
      <c r="Q223" s="552"/>
      <c r="R223" s="552"/>
      <c r="S223" s="552"/>
      <c r="T223" s="552"/>
      <c r="U223" s="552"/>
      <c r="V223" s="552"/>
    </row>
    <row r="224" spans="1:22" ht="15.75">
      <c r="C224" s="1404"/>
      <c r="D224" s="1407"/>
      <c r="E224" s="770"/>
      <c r="F224" s="889"/>
      <c r="G224" s="887"/>
      <c r="H224" s="694"/>
      <c r="I224" s="888">
        <f>F224*G224*H224</f>
        <v>0</v>
      </c>
      <c r="J224" s="641"/>
      <c r="K224" s="615"/>
      <c r="L224" s="615"/>
      <c r="M224" s="615">
        <f>J224*K224*L224</f>
        <v>0</v>
      </c>
      <c r="N224" s="541">
        <f>IF(I224&gt;M224,I224-M224,0)</f>
        <v>0</v>
      </c>
      <c r="O224" s="542">
        <f>IF(I224&lt;M224,I224-M224,0)</f>
        <v>0</v>
      </c>
      <c r="Q224" s="552"/>
      <c r="R224" s="552"/>
      <c r="S224" s="552"/>
      <c r="T224" s="552"/>
      <c r="U224" s="552"/>
      <c r="V224" s="552"/>
    </row>
    <row r="225" spans="3:25" ht="16.5" thickBot="1">
      <c r="C225" s="1405"/>
      <c r="D225" s="1408"/>
      <c r="E225" s="836"/>
      <c r="F225" s="890"/>
      <c r="G225" s="891"/>
      <c r="H225" s="694"/>
      <c r="I225" s="892">
        <f>F225*G225*H225</f>
        <v>0</v>
      </c>
      <c r="J225" s="775"/>
      <c r="K225" s="623"/>
      <c r="L225" s="623"/>
      <c r="M225" s="623">
        <f>J225*K225*L225</f>
        <v>0</v>
      </c>
      <c r="N225" s="622">
        <f>IF(I225&gt;M225,I225-M225,0)</f>
        <v>0</v>
      </c>
      <c r="O225" s="719">
        <f>IF(I225&lt;M225,I225-M225,0)</f>
        <v>0</v>
      </c>
      <c r="Q225" s="552"/>
      <c r="R225" s="552"/>
      <c r="S225" s="552"/>
      <c r="T225" s="552"/>
      <c r="U225" s="552"/>
      <c r="V225" s="552"/>
    </row>
    <row r="226" spans="3:25" ht="16.5" thickBot="1">
      <c r="E226" s="893" t="s">
        <v>110</v>
      </c>
      <c r="F226" s="894"/>
      <c r="G226" s="590"/>
      <c r="H226" s="894"/>
      <c r="I226" s="895" t="e">
        <f>SUM(I221:I225)</f>
        <v>#REF!</v>
      </c>
      <c r="J226" s="896"/>
      <c r="K226" s="595"/>
      <c r="L226" s="595"/>
      <c r="M226" s="595" t="e">
        <f>M188+M202+#REF!</f>
        <v>#REF!</v>
      </c>
      <c r="N226" s="897" t="e">
        <f>N188+N202+#REF!+N194+N211</f>
        <v>#REF!</v>
      </c>
      <c r="O226" s="819" t="e">
        <f>#REF!+O176+#REF!</f>
        <v>#REF!</v>
      </c>
      <c r="Q226" s="552"/>
      <c r="R226" s="552"/>
      <c r="S226" s="552"/>
      <c r="T226" s="552"/>
      <c r="U226" s="552"/>
      <c r="V226" s="552"/>
    </row>
    <row r="227" spans="3:25" ht="13.5" thickBot="1">
      <c r="E227" s="602"/>
      <c r="F227" s="603"/>
      <c r="G227" s="604"/>
      <c r="H227" s="603"/>
      <c r="I227" s="604"/>
      <c r="J227" s="602"/>
      <c r="K227" s="602"/>
      <c r="L227" s="602"/>
      <c r="M227" s="602"/>
      <c r="N227" s="605"/>
      <c r="O227" s="898" t="e">
        <f>N226+O226</f>
        <v>#REF!</v>
      </c>
    </row>
    <row r="228" spans="3:25">
      <c r="E228" s="602"/>
      <c r="F228" s="603"/>
      <c r="G228" s="604"/>
      <c r="H228" s="603"/>
      <c r="I228" s="604" t="s">
        <v>293</v>
      </c>
      <c r="J228" s="602"/>
      <c r="K228" s="602"/>
      <c r="L228" s="602"/>
      <c r="M228" s="602" t="s">
        <v>293</v>
      </c>
      <c r="N228" s="486" t="s">
        <v>293</v>
      </c>
    </row>
    <row r="229" spans="3:25" ht="13.5" thickBot="1">
      <c r="F229" s="482"/>
      <c r="H229" s="482"/>
    </row>
    <row r="230" spans="3:25" ht="16.5" thickBot="1">
      <c r="C230" s="899">
        <v>7</v>
      </c>
      <c r="E230" s="867" t="s">
        <v>231</v>
      </c>
      <c r="F230" s="868"/>
      <c r="G230" s="869"/>
      <c r="H230" s="870"/>
      <c r="I230" s="871" t="e">
        <f>I217+I226</f>
        <v>#REF!</v>
      </c>
      <c r="J230" s="872"/>
      <c r="K230" s="872"/>
      <c r="L230" s="872"/>
      <c r="M230" s="873" t="e">
        <f>M22+#REF!+M132+#REF!+M173+M226</f>
        <v>#REF!</v>
      </c>
      <c r="N230" s="874" t="e">
        <f>N22+#REF!+N132+#REF!+N173+N226</f>
        <v>#REF!</v>
      </c>
      <c r="O230" s="875" t="e">
        <f>O22+#REF!+O132+#REF!+O173+O226</f>
        <v>#REF!</v>
      </c>
      <c r="P230" s="483" t="e">
        <f>I230*3.65</f>
        <v>#REF!</v>
      </c>
    </row>
    <row r="231" spans="3:25" ht="16.5" thickBot="1">
      <c r="C231" s="900"/>
      <c r="D231" s="652"/>
      <c r="E231" s="876"/>
      <c r="F231" s="877"/>
      <c r="G231" s="878"/>
      <c r="H231" s="877"/>
      <c r="I231" s="878"/>
      <c r="J231" s="880"/>
      <c r="K231" s="880"/>
      <c r="L231" s="880"/>
      <c r="M231" s="880"/>
      <c r="N231" s="881"/>
      <c r="O231" s="877"/>
      <c r="P231" s="652"/>
      <c r="Q231" s="652"/>
      <c r="R231" s="652"/>
      <c r="S231" s="652"/>
      <c r="T231" s="652"/>
      <c r="U231" s="652"/>
      <c r="V231" s="652"/>
      <c r="W231" s="901"/>
      <c r="X231" s="901"/>
      <c r="Y231" s="901"/>
    </row>
    <row r="232" spans="3:25" ht="15.75">
      <c r="P232" s="483" t="e">
        <f>#REF!*0.05</f>
        <v>#REF!</v>
      </c>
      <c r="W232" s="902"/>
      <c r="X232" s="902"/>
      <c r="Y232" s="902"/>
    </row>
    <row r="233" spans="3:25">
      <c r="W233" s="903"/>
      <c r="X233" s="903"/>
      <c r="Y233" s="903"/>
    </row>
    <row r="234" spans="3:25">
      <c r="W234" s="904"/>
      <c r="X234" s="904"/>
      <c r="Y234" s="904"/>
    </row>
    <row r="235" spans="3:25" ht="13.5" thickBot="1">
      <c r="W235" s="905"/>
      <c r="X235" s="905"/>
      <c r="Y235" s="905"/>
    </row>
    <row r="236" spans="3:25" ht="16.5" thickBot="1">
      <c r="C236" s="906" t="s">
        <v>295</v>
      </c>
      <c r="E236" s="907" t="s">
        <v>275</v>
      </c>
      <c r="F236" s="908" t="s">
        <v>276</v>
      </c>
      <c r="G236" s="909"/>
      <c r="K236" s="1402"/>
      <c r="L236" s="1402"/>
      <c r="M236" s="1402"/>
      <c r="N236" s="1402"/>
    </row>
    <row r="237" spans="3:25" ht="13.5" thickBot="1">
      <c r="G237" s="910"/>
      <c r="K237" s="652"/>
      <c r="L237" s="652"/>
      <c r="M237" s="651"/>
      <c r="N237" s="911"/>
    </row>
    <row r="238" spans="3:25" ht="16.5" thickBot="1">
      <c r="C238" s="912">
        <v>1</v>
      </c>
      <c r="E238" s="913" t="s">
        <v>549</v>
      </c>
      <c r="F238" s="914">
        <f>I22</f>
        <v>0</v>
      </c>
      <c r="G238" s="909" t="s">
        <v>613</v>
      </c>
      <c r="H238" s="915" t="s">
        <v>614</v>
      </c>
      <c r="I238" s="916" t="e">
        <f>F240*3.65+F244+F245</f>
        <v>#REF!</v>
      </c>
      <c r="K238" s="915"/>
      <c r="L238" s="915"/>
      <c r="M238" s="917"/>
      <c r="N238" s="918"/>
      <c r="O238" s="919"/>
    </row>
    <row r="239" spans="3:25" ht="16.5" thickBot="1">
      <c r="C239" s="920">
        <v>2</v>
      </c>
      <c r="E239" s="913" t="s">
        <v>615</v>
      </c>
      <c r="F239" s="914">
        <f>I32</f>
        <v>0</v>
      </c>
      <c r="G239" s="909"/>
      <c r="H239" s="915" t="s">
        <v>613</v>
      </c>
      <c r="I239" s="916" t="e">
        <f>(F238+F241+F242+F243)*3.65</f>
        <v>#REF!</v>
      </c>
      <c r="K239" s="915"/>
      <c r="L239" s="652"/>
      <c r="M239" s="917"/>
      <c r="N239" s="918"/>
      <c r="O239" s="919"/>
    </row>
    <row r="240" spans="3:25" ht="16.5" thickBot="1">
      <c r="C240" s="920">
        <v>3</v>
      </c>
      <c r="E240" s="913" t="s">
        <v>589</v>
      </c>
      <c r="F240" s="914" t="e">
        <f>I132</f>
        <v>#REF!</v>
      </c>
      <c r="G240" s="909" t="s">
        <v>614</v>
      </c>
      <c r="H240" s="915"/>
      <c r="I240" s="909"/>
      <c r="K240" s="915"/>
      <c r="L240" s="652"/>
      <c r="M240" s="917"/>
      <c r="N240" s="918"/>
      <c r="O240" s="919"/>
    </row>
    <row r="241" spans="3:22" ht="16.5" thickBot="1">
      <c r="C241" s="920">
        <v>4</v>
      </c>
      <c r="E241" s="913" t="s">
        <v>167</v>
      </c>
      <c r="F241" s="914">
        <f>I173</f>
        <v>42250</v>
      </c>
      <c r="G241" s="909" t="s">
        <v>613</v>
      </c>
      <c r="H241" s="915"/>
      <c r="I241" s="909"/>
    </row>
    <row r="242" spans="3:22" ht="16.5" thickBot="1">
      <c r="C242" s="920">
        <v>5</v>
      </c>
      <c r="E242" s="913" t="s">
        <v>274</v>
      </c>
      <c r="F242" s="914">
        <f>I212</f>
        <v>25044</v>
      </c>
      <c r="G242" s="909" t="s">
        <v>613</v>
      </c>
      <c r="H242" s="915"/>
      <c r="I242" s="909"/>
    </row>
    <row r="243" spans="3:22" ht="16.5" thickBot="1">
      <c r="C243" s="921">
        <v>6</v>
      </c>
      <c r="E243" s="913" t="s">
        <v>612</v>
      </c>
      <c r="F243" s="922" t="e">
        <f>I226</f>
        <v>#REF!</v>
      </c>
      <c r="G243" s="909" t="s">
        <v>613</v>
      </c>
      <c r="H243" s="915"/>
      <c r="I243" s="909"/>
    </row>
    <row r="244" spans="3:22" ht="15.75">
      <c r="C244" s="923"/>
      <c r="E244" s="924"/>
      <c r="F244" s="925"/>
      <c r="G244" s="909"/>
      <c r="H244" s="915"/>
      <c r="I244" s="909"/>
    </row>
    <row r="245" spans="3:22" ht="15.75">
      <c r="C245" s="923"/>
      <c r="E245" s="924"/>
      <c r="F245" s="925"/>
      <c r="G245" s="909"/>
      <c r="H245" s="915"/>
      <c r="I245" s="909"/>
    </row>
    <row r="246" spans="3:22" ht="13.5" thickBot="1">
      <c r="F246" s="926"/>
      <c r="G246" s="910"/>
    </row>
    <row r="247" spans="3:22" ht="16.5" thickBot="1">
      <c r="C247" s="927">
        <v>7</v>
      </c>
      <c r="E247" s="867" t="s">
        <v>110</v>
      </c>
      <c r="F247" s="928" t="e">
        <f>SUM(F238:F243)</f>
        <v>#REF!</v>
      </c>
      <c r="G247" s="910"/>
    </row>
    <row r="249" spans="3:22" ht="13.5" thickBot="1"/>
    <row r="250" spans="3:22" ht="16.5" thickBot="1">
      <c r="E250" s="929" t="s">
        <v>616</v>
      </c>
      <c r="F250" s="930"/>
      <c r="G250" s="930"/>
      <c r="H250" s="930"/>
      <c r="I250" s="930"/>
      <c r="J250" s="930"/>
      <c r="K250" s="930"/>
      <c r="L250" s="930"/>
      <c r="M250" s="930"/>
      <c r="N250" s="930"/>
      <c r="O250" s="930"/>
      <c r="P250" s="930"/>
      <c r="Q250" s="930"/>
      <c r="R250" s="930"/>
      <c r="S250" s="930"/>
      <c r="T250" s="930"/>
      <c r="U250" s="930"/>
      <c r="V250" s="931"/>
    </row>
    <row r="251" spans="3:22" ht="16.5" thickBot="1">
      <c r="E251" s="932" t="s">
        <v>247</v>
      </c>
      <c r="F251" s="933" t="s">
        <v>110</v>
      </c>
      <c r="G251" s="934" t="s">
        <v>617</v>
      </c>
      <c r="H251" s="902"/>
      <c r="I251" s="902"/>
      <c r="J251" s="902"/>
      <c r="K251" s="902"/>
      <c r="L251" s="902"/>
      <c r="M251" s="902"/>
      <c r="N251" s="902"/>
      <c r="O251" s="902"/>
      <c r="P251" s="902"/>
      <c r="Q251" s="902"/>
      <c r="R251" s="902"/>
      <c r="S251" s="902"/>
      <c r="T251" s="902"/>
      <c r="U251" s="902"/>
      <c r="V251" s="902"/>
    </row>
    <row r="252" spans="3:22">
      <c r="E252" s="935" t="s">
        <v>603</v>
      </c>
      <c r="F252" s="936">
        <f>I173+I188+I194+I211</f>
        <v>48350</v>
      </c>
      <c r="G252" s="937" t="s">
        <v>618</v>
      </c>
      <c r="H252" s="903"/>
      <c r="I252" s="903"/>
      <c r="J252" s="903"/>
      <c r="K252" s="903"/>
      <c r="L252" s="903"/>
      <c r="M252" s="903"/>
      <c r="N252" s="903"/>
      <c r="O252" s="903"/>
      <c r="P252" s="903"/>
      <c r="Q252" s="903"/>
      <c r="R252" s="903"/>
      <c r="S252" s="903"/>
      <c r="T252" s="903"/>
      <c r="U252" s="903"/>
      <c r="V252" s="903"/>
    </row>
    <row r="253" spans="3:22">
      <c r="E253" s="935" t="s">
        <v>559</v>
      </c>
      <c r="F253" s="938" t="e">
        <f>I22+I132+I202+I226</f>
        <v>#REF!</v>
      </c>
      <c r="G253" s="939" t="s">
        <v>619</v>
      </c>
      <c r="H253" s="904"/>
      <c r="I253" s="904"/>
      <c r="J253" s="904"/>
      <c r="K253" s="904"/>
      <c r="L253" s="904"/>
      <c r="M253" s="904"/>
      <c r="N253" s="904"/>
      <c r="O253" s="904"/>
      <c r="P253" s="904"/>
      <c r="Q253" s="904"/>
      <c r="R253" s="904"/>
      <c r="S253" s="904"/>
      <c r="T253" s="904"/>
      <c r="U253" s="904"/>
      <c r="V253" s="904"/>
    </row>
    <row r="254" spans="3:22" ht="13.5" thickBot="1">
      <c r="E254" s="940" t="s">
        <v>587</v>
      </c>
      <c r="F254" s="941">
        <f>I32</f>
        <v>0</v>
      </c>
      <c r="G254" s="942" t="s">
        <v>620</v>
      </c>
      <c r="H254" s="905"/>
      <c r="I254" s="905"/>
      <c r="J254" s="905"/>
      <c r="K254" s="905"/>
      <c r="L254" s="905"/>
      <c r="M254" s="905"/>
      <c r="N254" s="905"/>
      <c r="O254" s="905"/>
      <c r="P254" s="905"/>
      <c r="Q254" s="905"/>
      <c r="R254" s="905"/>
      <c r="S254" s="905"/>
      <c r="T254" s="905"/>
      <c r="U254" s="905"/>
      <c r="V254" s="905"/>
    </row>
    <row r="255" spans="3:22" ht="13.5" thickBot="1">
      <c r="E255" s="943" t="s">
        <v>621</v>
      </c>
      <c r="F255" s="944" t="e">
        <f>SUM(F252:F254)</f>
        <v>#REF!</v>
      </c>
      <c r="G255" s="945"/>
      <c r="H255" s="945"/>
      <c r="I255" s="945"/>
      <c r="J255" s="946"/>
      <c r="K255" s="947"/>
      <c r="L255" s="948">
        <f>L252+L253+L254</f>
        <v>0</v>
      </c>
    </row>
    <row r="256" spans="3:22">
      <c r="F256" s="483" t="e">
        <f>F255*3.65</f>
        <v>#REF!</v>
      </c>
      <c r="G256" s="949"/>
      <c r="H256" s="650"/>
      <c r="I256" s="949"/>
    </row>
  </sheetData>
  <mergeCells count="64">
    <mergeCell ref="Y5:AA5"/>
    <mergeCell ref="E3:G3"/>
    <mergeCell ref="J3:O3"/>
    <mergeCell ref="F5:I5"/>
    <mergeCell ref="J5:M5"/>
    <mergeCell ref="N5:O5"/>
    <mergeCell ref="Z6:AA6"/>
    <mergeCell ref="C7:C21"/>
    <mergeCell ref="D7:D10"/>
    <mergeCell ref="Z7:AA7"/>
    <mergeCell ref="Z8:AA8"/>
    <mergeCell ref="Y10:AA10"/>
    <mergeCell ref="D11:D18"/>
    <mergeCell ref="Y11:Y13"/>
    <mergeCell ref="Y14:Y16"/>
    <mergeCell ref="Y18:AA18"/>
    <mergeCell ref="N35:O35"/>
    <mergeCell ref="C37:C66"/>
    <mergeCell ref="D37:D51"/>
    <mergeCell ref="D52:D66"/>
    <mergeCell ref="D19:D21"/>
    <mergeCell ref="F25:I25"/>
    <mergeCell ref="J25:M25"/>
    <mergeCell ref="N25:O25"/>
    <mergeCell ref="C27:C31"/>
    <mergeCell ref="D27:D31"/>
    <mergeCell ref="C97:C112"/>
    <mergeCell ref="D97:D104"/>
    <mergeCell ref="D105:D112"/>
    <mergeCell ref="F35:I35"/>
    <mergeCell ref="J35:M35"/>
    <mergeCell ref="C68:C87"/>
    <mergeCell ref="D68:D77"/>
    <mergeCell ref="D78:D87"/>
    <mergeCell ref="C89:C95"/>
    <mergeCell ref="D89:D95"/>
    <mergeCell ref="F176:I176"/>
    <mergeCell ref="J176:M176"/>
    <mergeCell ref="N176:O176"/>
    <mergeCell ref="C114:C130"/>
    <mergeCell ref="D114:D118"/>
    <mergeCell ref="D120:D124"/>
    <mergeCell ref="D126:D130"/>
    <mergeCell ref="F137:I137"/>
    <mergeCell ref="J137:M137"/>
    <mergeCell ref="N137:O137"/>
    <mergeCell ref="C139:C144"/>
    <mergeCell ref="D139:D144"/>
    <mergeCell ref="C147:C170"/>
    <mergeCell ref="D147:D170"/>
    <mergeCell ref="C178:C187"/>
    <mergeCell ref="D178:D187"/>
    <mergeCell ref="C189:C193"/>
    <mergeCell ref="D189:D193"/>
    <mergeCell ref="C195:C201"/>
    <mergeCell ref="D195:D201"/>
    <mergeCell ref="K236:N236"/>
    <mergeCell ref="C203:C210"/>
    <mergeCell ref="D203:D210"/>
    <mergeCell ref="F219:I219"/>
    <mergeCell ref="J219:M219"/>
    <mergeCell ref="N219:O219"/>
    <mergeCell ref="C221:C225"/>
    <mergeCell ref="D221:D225"/>
  </mergeCells>
  <conditionalFormatting sqref="N221:O227 N178:O216 F166 J166:K173 G141:G142 J148:K149 J151:O152 K150 N153:O175 L148:M150 K153:M160 K162:K165 L162:M173 J161:M161 J153:J159 N132:O136 J132:M132 F220:M226 F146:I146 N37:O40 N34:O34 F26:M26 F27:O33 H12:H21 F22:O22 O23 N7:O21 J6:M21 G13:G21 I13:I21 I36:M40 G6:I11 F6:F21 I41:O88 F36:H88 J125:O131 F153:G161 G152 F151:G151 G162:G166 F167:G173 N139:O139 N141:O150 J141:M147 F138:M139 F140:O140 H141:I145 F143:G145 F147:G148 F125:I132 F177:M216 F89:O124 G149:G150 H147:I173">
    <cfRule type="cellIs" dxfId="0" priority="1" stopIfTrue="1" operator="equal">
      <formula>0</formula>
    </cfRule>
  </conditionalFormatting>
  <pageMargins left="0.7" right="0.7" top="0.75" bottom="0.75" header="0.3" footer="0.3"/>
  <pageSetup paperSize="9" scale="51" orientation="portrait" r:id="rId1"/>
  <headerFooter alignWithMargins="0"/>
  <colBreaks count="2" manualBreakCount="2">
    <brk id="15" max="265" man="1"/>
    <brk id="22" max="264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/>
  </sheetPr>
  <dimension ref="A1:I73"/>
  <sheetViews>
    <sheetView tabSelected="1" view="pageBreakPreview" topLeftCell="D1" zoomScale="90" zoomScaleSheetLayoutView="90" workbookViewId="0">
      <selection activeCell="I3" sqref="I3"/>
    </sheetView>
  </sheetViews>
  <sheetFormatPr defaultColWidth="9.140625" defaultRowHeight="16.5"/>
  <cols>
    <col min="1" max="1" width="0.140625" style="1146" hidden="1" customWidth="1"/>
    <col min="2" max="2" width="0" style="1146" hidden="1" customWidth="1"/>
    <col min="3" max="3" width="5.85546875" style="1146" customWidth="1"/>
    <col min="4" max="4" width="16.5703125" style="1147" customWidth="1"/>
    <col min="5" max="5" width="66.7109375" style="1148" customWidth="1"/>
    <col min="6" max="6" width="9.42578125" style="1149" bestFit="1" customWidth="1"/>
    <col min="7" max="7" width="8.85546875" style="1150" customWidth="1"/>
    <col min="8" max="8" width="13" style="1150" customWidth="1"/>
    <col min="9" max="9" width="24.140625" style="1151" bestFit="1" customWidth="1"/>
    <col min="10" max="10" width="9.140625" style="1146"/>
    <col min="11" max="11" width="14.28515625" style="1146" bestFit="1" customWidth="1"/>
    <col min="12" max="16384" width="9.140625" style="1146"/>
  </cols>
  <sheetData>
    <row r="1" spans="3:9" ht="138.75" customHeight="1">
      <c r="D1" s="1471"/>
      <c r="E1" s="1471"/>
      <c r="F1" s="1471"/>
      <c r="G1" s="1471"/>
      <c r="H1" s="1471"/>
      <c r="I1" s="1471"/>
    </row>
    <row r="2" spans="3:9" ht="21" customHeight="1">
      <c r="C2" s="1152"/>
      <c r="D2" s="1472" t="s">
        <v>715</v>
      </c>
      <c r="E2" s="1473"/>
      <c r="F2" s="1473"/>
      <c r="G2" s="1473"/>
      <c r="H2" s="1473"/>
      <c r="I2" s="1473"/>
    </row>
    <row r="3" spans="3:9" ht="20.25">
      <c r="C3" s="1153"/>
      <c r="D3" s="1154" t="s">
        <v>748</v>
      </c>
      <c r="E3" s="1474" t="s">
        <v>761</v>
      </c>
      <c r="F3" s="1474"/>
      <c r="G3" s="1474"/>
      <c r="H3" s="1474"/>
      <c r="I3" s="1192" t="s">
        <v>771</v>
      </c>
    </row>
    <row r="4" spans="3:9">
      <c r="C4" s="1153"/>
      <c r="D4" s="1154" t="s">
        <v>749</v>
      </c>
      <c r="E4" s="1155"/>
      <c r="F4" s="1156"/>
      <c r="G4" s="1154"/>
      <c r="H4" s="1154"/>
      <c r="I4" s="1157" t="s">
        <v>696</v>
      </c>
    </row>
    <row r="5" spans="3:9">
      <c r="C5" s="1153"/>
      <c r="D5" s="1158" t="s">
        <v>0</v>
      </c>
      <c r="E5" s="1159" t="s">
        <v>247</v>
      </c>
      <c r="F5" s="1160" t="s">
        <v>4</v>
      </c>
      <c r="G5" s="1161" t="s">
        <v>104</v>
      </c>
      <c r="H5" s="1162" t="s">
        <v>714</v>
      </c>
      <c r="I5" s="1163" t="s">
        <v>750</v>
      </c>
    </row>
    <row r="6" spans="3:9">
      <c r="C6" s="1153"/>
      <c r="D6" s="1164">
        <v>1</v>
      </c>
      <c r="E6" s="1165" t="s">
        <v>300</v>
      </c>
      <c r="F6" s="1166"/>
      <c r="G6" s="1167"/>
      <c r="H6" s="1168"/>
      <c r="I6" s="1169"/>
    </row>
    <row r="7" spans="3:9" ht="28.5">
      <c r="C7" s="1153"/>
      <c r="D7" s="1170" t="s">
        <v>294</v>
      </c>
      <c r="E7" s="1171" t="s">
        <v>752</v>
      </c>
      <c r="F7" s="1172">
        <v>135</v>
      </c>
      <c r="G7" s="1173" t="s">
        <v>756</v>
      </c>
      <c r="H7" s="1174"/>
      <c r="I7" s="1175">
        <f>H7*F7</f>
        <v>0</v>
      </c>
    </row>
    <row r="8" spans="3:9">
      <c r="C8" s="1153"/>
      <c r="D8" s="1164">
        <v>2</v>
      </c>
      <c r="E8" s="1165" t="s">
        <v>301</v>
      </c>
      <c r="F8" s="1176"/>
      <c r="G8" s="1167"/>
      <c r="H8" s="1168"/>
      <c r="I8" s="1175">
        <f t="shared" ref="I8:I24" si="0">H8*F8</f>
        <v>0</v>
      </c>
    </row>
    <row r="9" spans="3:9" ht="28.5">
      <c r="C9" s="1153"/>
      <c r="D9" s="1177" t="s">
        <v>294</v>
      </c>
      <c r="E9" s="1171" t="s">
        <v>766</v>
      </c>
      <c r="F9" s="1178">
        <v>54</v>
      </c>
      <c r="G9" s="1173" t="s">
        <v>285</v>
      </c>
      <c r="H9" s="1179"/>
      <c r="I9" s="1175">
        <f t="shared" si="0"/>
        <v>0</v>
      </c>
    </row>
    <row r="10" spans="3:9" ht="23.25" customHeight="1">
      <c r="C10" s="1153"/>
      <c r="D10" s="1170" t="s">
        <v>295</v>
      </c>
      <c r="E10" s="1171" t="s">
        <v>443</v>
      </c>
      <c r="F10" s="1172">
        <v>10.800000000000002</v>
      </c>
      <c r="G10" s="1173" t="s">
        <v>285</v>
      </c>
      <c r="H10" s="1179"/>
      <c r="I10" s="1175">
        <f t="shared" si="0"/>
        <v>0</v>
      </c>
    </row>
    <row r="11" spans="3:9" ht="28.5" customHeight="1">
      <c r="C11" s="1153"/>
      <c r="D11" s="1164">
        <v>3</v>
      </c>
      <c r="E11" s="1165" t="s">
        <v>755</v>
      </c>
      <c r="F11" s="1166"/>
      <c r="G11" s="1167"/>
      <c r="H11" s="1168"/>
      <c r="I11" s="1175"/>
    </row>
    <row r="12" spans="3:9" ht="27" customHeight="1">
      <c r="C12" s="1153"/>
      <c r="D12" s="1177" t="s">
        <v>294</v>
      </c>
      <c r="E12" s="1171" t="s">
        <v>763</v>
      </c>
      <c r="F12" s="1178">
        <v>10.800000000000002</v>
      </c>
      <c r="G12" s="1173" t="s">
        <v>285</v>
      </c>
      <c r="H12" s="1179"/>
      <c r="I12" s="1175">
        <f t="shared" si="0"/>
        <v>0</v>
      </c>
    </row>
    <row r="13" spans="3:9" ht="28.5">
      <c r="C13" s="1153"/>
      <c r="D13" s="1177" t="s">
        <v>295</v>
      </c>
      <c r="E13" s="1171" t="s">
        <v>770</v>
      </c>
      <c r="F13" s="1178">
        <v>5.25</v>
      </c>
      <c r="G13" s="1173" t="s">
        <v>285</v>
      </c>
      <c r="H13" s="1179"/>
      <c r="I13" s="1175">
        <f t="shared" si="0"/>
        <v>0</v>
      </c>
    </row>
    <row r="14" spans="3:9">
      <c r="C14" s="1153"/>
      <c r="D14" s="1177" t="s">
        <v>296</v>
      </c>
      <c r="E14" s="1171" t="s">
        <v>764</v>
      </c>
      <c r="F14" s="1178">
        <v>2.2400000000000002</v>
      </c>
      <c r="G14" s="1173" t="s">
        <v>285</v>
      </c>
      <c r="H14" s="1179"/>
      <c r="I14" s="1175">
        <f t="shared" si="0"/>
        <v>0</v>
      </c>
    </row>
    <row r="15" spans="3:9">
      <c r="C15" s="1153"/>
      <c r="D15" s="1177" t="s">
        <v>101</v>
      </c>
      <c r="E15" s="1171" t="s">
        <v>762</v>
      </c>
      <c r="F15" s="1178">
        <v>2.5800000000000005</v>
      </c>
      <c r="G15" s="1173" t="s">
        <v>285</v>
      </c>
      <c r="H15" s="1179"/>
      <c r="I15" s="1175">
        <f t="shared" si="0"/>
        <v>0</v>
      </c>
    </row>
    <row r="16" spans="3:9">
      <c r="C16" s="1153"/>
      <c r="D16" s="1180">
        <v>4</v>
      </c>
      <c r="E16" s="1165" t="s">
        <v>751</v>
      </c>
      <c r="F16" s="1181"/>
      <c r="G16" s="1182"/>
      <c r="H16" s="1183"/>
      <c r="I16" s="1175"/>
    </row>
    <row r="17" spans="3:9" ht="52.5" customHeight="1">
      <c r="C17" s="1184"/>
      <c r="D17" s="1177" t="s">
        <v>294</v>
      </c>
      <c r="E17" s="1185" t="s">
        <v>765</v>
      </c>
      <c r="F17" s="1178">
        <v>64.8</v>
      </c>
      <c r="G17" s="1173" t="s">
        <v>759</v>
      </c>
      <c r="H17" s="1179"/>
      <c r="I17" s="1175">
        <f t="shared" si="0"/>
        <v>0</v>
      </c>
    </row>
    <row r="18" spans="3:9" ht="47.25">
      <c r="C18" s="1184"/>
      <c r="D18" s="1177" t="s">
        <v>295</v>
      </c>
      <c r="E18" s="1185" t="s">
        <v>769</v>
      </c>
      <c r="F18" s="1178">
        <v>319.5</v>
      </c>
      <c r="G18" s="1173" t="s">
        <v>758</v>
      </c>
      <c r="H18" s="1179"/>
      <c r="I18" s="1175">
        <f t="shared" si="0"/>
        <v>0</v>
      </c>
    </row>
    <row r="19" spans="3:9" ht="26.25" customHeight="1">
      <c r="C19" s="1153"/>
      <c r="D19" s="1180">
        <v>5</v>
      </c>
      <c r="E19" s="1165" t="s">
        <v>753</v>
      </c>
      <c r="F19" s="1181"/>
      <c r="G19" s="1182"/>
      <c r="H19" s="1183"/>
      <c r="I19" s="1175"/>
    </row>
    <row r="20" spans="3:9" ht="32.25" customHeight="1">
      <c r="C20" s="1153"/>
      <c r="D20" s="1177" t="s">
        <v>294</v>
      </c>
      <c r="E20" s="1185" t="s">
        <v>767</v>
      </c>
      <c r="F20" s="1186">
        <v>799.80000000000007</v>
      </c>
      <c r="G20" s="1173" t="s">
        <v>758</v>
      </c>
      <c r="H20" s="1179"/>
      <c r="I20" s="1175">
        <f t="shared" si="0"/>
        <v>0</v>
      </c>
    </row>
    <row r="21" spans="3:9" ht="26.25" customHeight="1">
      <c r="C21" s="1153"/>
      <c r="D21" s="1180">
        <v>6</v>
      </c>
      <c r="E21" s="1165" t="s">
        <v>754</v>
      </c>
      <c r="F21" s="1181"/>
      <c r="G21" s="1182"/>
      <c r="H21" s="1183"/>
      <c r="I21" s="1175">
        <f t="shared" si="0"/>
        <v>0</v>
      </c>
    </row>
    <row r="22" spans="3:9" ht="49.5" customHeight="1">
      <c r="C22" s="1153"/>
      <c r="D22" s="1177" t="s">
        <v>294</v>
      </c>
      <c r="E22" s="1185" t="s">
        <v>757</v>
      </c>
      <c r="F22" s="1186">
        <v>799.80000000000007</v>
      </c>
      <c r="G22" s="1173" t="s">
        <v>758</v>
      </c>
      <c r="H22" s="1179"/>
      <c r="I22" s="1175">
        <f t="shared" si="0"/>
        <v>0</v>
      </c>
    </row>
    <row r="23" spans="3:9" ht="24.75" customHeight="1">
      <c r="C23" s="1153"/>
      <c r="D23" s="1180">
        <v>7</v>
      </c>
      <c r="E23" s="1165" t="s">
        <v>716</v>
      </c>
      <c r="F23" s="1181"/>
      <c r="G23" s="1182"/>
      <c r="H23" s="1183"/>
      <c r="I23" s="1175"/>
    </row>
    <row r="24" spans="3:9" ht="47.25">
      <c r="C24" s="1153"/>
      <c r="D24" s="1187" t="s">
        <v>294</v>
      </c>
      <c r="E24" s="1188" t="s">
        <v>768</v>
      </c>
      <c r="F24" s="1189">
        <v>2</v>
      </c>
      <c r="G24" s="1190" t="s">
        <v>747</v>
      </c>
      <c r="H24" s="1179"/>
      <c r="I24" s="1175">
        <f t="shared" si="0"/>
        <v>0</v>
      </c>
    </row>
    <row r="25" spans="3:9" ht="23.25" customHeight="1">
      <c r="C25" s="1153"/>
      <c r="D25" s="1475" t="s">
        <v>760</v>
      </c>
      <c r="E25" s="1475"/>
      <c r="F25" s="1475"/>
      <c r="G25" s="1475"/>
      <c r="H25" s="1475"/>
      <c r="I25" s="1193">
        <f>SUM(I7:I24)</f>
        <v>0</v>
      </c>
    </row>
    <row r="26" spans="3:9">
      <c r="C26" s="1153"/>
      <c r="D26" s="1191"/>
      <c r="E26" s="1184"/>
      <c r="F26" s="1191"/>
      <c r="G26" s="1191"/>
      <c r="H26" s="1191"/>
      <c r="I26" s="1191"/>
    </row>
    <row r="27" spans="3:9">
      <c r="C27" s="1153"/>
      <c r="D27" s="1191"/>
      <c r="E27" s="1184"/>
      <c r="F27" s="1191"/>
      <c r="G27" s="1191"/>
      <c r="H27" s="1191"/>
      <c r="I27" s="1191"/>
    </row>
    <row r="28" spans="3:9">
      <c r="C28" s="1153"/>
      <c r="D28" s="1191"/>
      <c r="E28" s="1184"/>
      <c r="F28" s="1191"/>
      <c r="G28" s="1191"/>
      <c r="H28" s="1191"/>
      <c r="I28" s="1191"/>
    </row>
    <row r="29" spans="3:9">
      <c r="C29" s="1153"/>
      <c r="D29" s="1191"/>
      <c r="E29" s="1184"/>
      <c r="F29" s="1191"/>
      <c r="G29" s="1191"/>
      <c r="H29" s="1191"/>
      <c r="I29" s="1191"/>
    </row>
    <row r="30" spans="3:9">
      <c r="C30" s="1153"/>
      <c r="D30" s="1191"/>
      <c r="E30" s="1184"/>
      <c r="F30" s="1191"/>
      <c r="G30" s="1191"/>
      <c r="H30" s="1191"/>
      <c r="I30" s="1191"/>
    </row>
    <row r="31" spans="3:9">
      <c r="C31" s="1153"/>
      <c r="D31" s="1191"/>
      <c r="E31" s="1184"/>
      <c r="F31" s="1191"/>
      <c r="G31" s="1191"/>
      <c r="H31" s="1191"/>
      <c r="I31" s="1191"/>
    </row>
    <row r="32" spans="3:9">
      <c r="C32" s="1153"/>
      <c r="D32" s="1191"/>
      <c r="E32" s="1184"/>
      <c r="F32" s="1191"/>
      <c r="G32" s="1191"/>
      <c r="H32" s="1191"/>
      <c r="I32" s="1191"/>
    </row>
    <row r="33" spans="3:9">
      <c r="C33" s="1153"/>
      <c r="D33" s="1191"/>
      <c r="E33" s="1184"/>
      <c r="F33" s="1191"/>
      <c r="G33" s="1191"/>
      <c r="H33" s="1191"/>
      <c r="I33" s="1191"/>
    </row>
    <row r="34" spans="3:9">
      <c r="C34" s="1153"/>
      <c r="D34" s="1191"/>
      <c r="E34" s="1184"/>
      <c r="F34" s="1191"/>
      <c r="G34" s="1191"/>
      <c r="H34" s="1191"/>
      <c r="I34" s="1191"/>
    </row>
    <row r="35" spans="3:9">
      <c r="C35" s="1153"/>
      <c r="D35" s="1191"/>
      <c r="E35" s="1184"/>
      <c r="F35" s="1191"/>
      <c r="G35" s="1191"/>
      <c r="H35" s="1191"/>
      <c r="I35" s="1191"/>
    </row>
    <row r="36" spans="3:9">
      <c r="C36" s="1153"/>
      <c r="D36" s="1191"/>
      <c r="E36" s="1184"/>
      <c r="F36" s="1191"/>
      <c r="G36" s="1191"/>
      <c r="H36" s="1191"/>
      <c r="I36" s="1191"/>
    </row>
    <row r="37" spans="3:9">
      <c r="C37" s="1153"/>
      <c r="D37" s="1191"/>
      <c r="E37" s="1184"/>
      <c r="F37" s="1191"/>
      <c r="G37" s="1191"/>
      <c r="H37" s="1191"/>
      <c r="I37" s="1191"/>
    </row>
    <row r="38" spans="3:9">
      <c r="C38" s="1153"/>
      <c r="D38" s="1191"/>
      <c r="E38" s="1184"/>
      <c r="F38" s="1191"/>
      <c r="G38" s="1191"/>
      <c r="H38" s="1191"/>
      <c r="I38" s="1191"/>
    </row>
    <row r="39" spans="3:9">
      <c r="C39" s="1153"/>
      <c r="D39" s="1191"/>
      <c r="E39" s="1184"/>
      <c r="F39" s="1191"/>
      <c r="G39" s="1191"/>
      <c r="H39" s="1191"/>
      <c r="I39" s="1191"/>
    </row>
    <row r="40" spans="3:9">
      <c r="C40" s="1153"/>
      <c r="D40" s="1191"/>
      <c r="E40" s="1184"/>
      <c r="F40" s="1191"/>
      <c r="G40" s="1191"/>
      <c r="H40" s="1191"/>
      <c r="I40" s="1191"/>
    </row>
    <row r="41" spans="3:9">
      <c r="C41" s="1153"/>
      <c r="D41" s="1191"/>
      <c r="E41" s="1184"/>
      <c r="F41" s="1191"/>
      <c r="G41" s="1191"/>
      <c r="H41" s="1191"/>
      <c r="I41" s="1191"/>
    </row>
    <row r="42" spans="3:9">
      <c r="C42" s="1153"/>
      <c r="D42" s="1191"/>
      <c r="E42" s="1184"/>
      <c r="F42" s="1191"/>
      <c r="G42" s="1191"/>
      <c r="H42" s="1191"/>
      <c r="I42" s="1191"/>
    </row>
    <row r="43" spans="3:9">
      <c r="C43" s="1153"/>
      <c r="D43" s="1191"/>
      <c r="E43" s="1184"/>
      <c r="F43" s="1191"/>
      <c r="G43" s="1191"/>
      <c r="H43" s="1191"/>
      <c r="I43" s="1191"/>
    </row>
    <row r="44" spans="3:9">
      <c r="C44" s="1153"/>
      <c r="D44" s="1191"/>
      <c r="E44" s="1184"/>
      <c r="F44" s="1191"/>
      <c r="G44" s="1191"/>
      <c r="H44" s="1191"/>
      <c r="I44" s="1191"/>
    </row>
    <row r="45" spans="3:9">
      <c r="C45" s="1153"/>
      <c r="D45" s="1191"/>
      <c r="E45" s="1184"/>
      <c r="F45" s="1191"/>
      <c r="G45" s="1191"/>
      <c r="H45" s="1191"/>
      <c r="I45" s="1191"/>
    </row>
    <row r="46" spans="3:9">
      <c r="C46" s="1153"/>
      <c r="D46" s="1191"/>
      <c r="E46" s="1184"/>
      <c r="F46" s="1191"/>
      <c r="G46" s="1191"/>
      <c r="H46" s="1191"/>
      <c r="I46" s="1191"/>
    </row>
    <row r="47" spans="3:9">
      <c r="C47" s="1153"/>
      <c r="D47" s="1191"/>
      <c r="E47" s="1184"/>
      <c r="F47" s="1191"/>
      <c r="G47" s="1191"/>
      <c r="H47" s="1191"/>
      <c r="I47" s="1191"/>
    </row>
    <row r="48" spans="3:9">
      <c r="C48" s="1153"/>
      <c r="D48" s="1191"/>
      <c r="E48" s="1184"/>
      <c r="F48" s="1191"/>
      <c r="G48" s="1191"/>
      <c r="H48" s="1191"/>
      <c r="I48" s="1191"/>
    </row>
    <row r="49" spans="3:9">
      <c r="C49" s="1153"/>
      <c r="D49" s="1191"/>
      <c r="E49" s="1184"/>
      <c r="F49" s="1191"/>
      <c r="G49" s="1191"/>
      <c r="H49" s="1191"/>
      <c r="I49" s="1191"/>
    </row>
    <row r="50" spans="3:9">
      <c r="C50" s="1153"/>
      <c r="D50" s="1191"/>
      <c r="E50" s="1184"/>
      <c r="F50" s="1191"/>
      <c r="G50" s="1191"/>
      <c r="H50" s="1191"/>
      <c r="I50" s="1191"/>
    </row>
    <row r="51" spans="3:9">
      <c r="C51" s="1153"/>
      <c r="D51" s="1191"/>
      <c r="E51" s="1184"/>
      <c r="F51" s="1191"/>
      <c r="G51" s="1191"/>
      <c r="H51" s="1191"/>
      <c r="I51" s="1191"/>
    </row>
    <row r="52" spans="3:9">
      <c r="C52" s="1153"/>
      <c r="D52" s="1191"/>
      <c r="E52" s="1184"/>
      <c r="F52" s="1191"/>
      <c r="G52" s="1191"/>
      <c r="H52" s="1191"/>
      <c r="I52" s="1191"/>
    </row>
    <row r="53" spans="3:9">
      <c r="C53" s="1153"/>
      <c r="D53" s="1191"/>
      <c r="E53" s="1184"/>
      <c r="F53" s="1191"/>
      <c r="G53" s="1191"/>
      <c r="H53" s="1191"/>
      <c r="I53" s="1191"/>
    </row>
    <row r="54" spans="3:9">
      <c r="C54" s="1153"/>
      <c r="D54" s="1191"/>
      <c r="E54" s="1184"/>
      <c r="F54" s="1191"/>
      <c r="G54" s="1191"/>
      <c r="H54" s="1191"/>
      <c r="I54" s="1191"/>
    </row>
    <row r="55" spans="3:9">
      <c r="C55" s="1153"/>
      <c r="D55" s="1191"/>
      <c r="E55" s="1184"/>
      <c r="F55" s="1191"/>
      <c r="G55" s="1191"/>
      <c r="H55" s="1191"/>
      <c r="I55" s="1191"/>
    </row>
    <row r="56" spans="3:9">
      <c r="C56" s="1153"/>
      <c r="D56" s="1191"/>
      <c r="E56" s="1184"/>
      <c r="F56" s="1191"/>
      <c r="G56" s="1191"/>
      <c r="H56" s="1191"/>
      <c r="I56" s="1191"/>
    </row>
    <row r="57" spans="3:9">
      <c r="C57" s="1153"/>
      <c r="D57" s="1191"/>
      <c r="E57" s="1184"/>
      <c r="F57" s="1191"/>
      <c r="G57" s="1191"/>
      <c r="H57" s="1191"/>
      <c r="I57" s="1191"/>
    </row>
    <row r="58" spans="3:9">
      <c r="C58" s="1153"/>
      <c r="D58" s="1191"/>
      <c r="E58" s="1184"/>
      <c r="F58" s="1191"/>
      <c r="G58" s="1191"/>
      <c r="H58" s="1191"/>
      <c r="I58" s="1191"/>
    </row>
    <row r="59" spans="3:9">
      <c r="C59" s="1153"/>
      <c r="D59" s="1191"/>
      <c r="E59" s="1184"/>
      <c r="F59" s="1191"/>
      <c r="G59" s="1191"/>
      <c r="H59" s="1191"/>
      <c r="I59" s="1191"/>
    </row>
    <row r="60" spans="3:9">
      <c r="C60" s="1153"/>
      <c r="D60" s="1191"/>
      <c r="E60" s="1184"/>
      <c r="F60" s="1191"/>
      <c r="G60" s="1191"/>
      <c r="H60" s="1191"/>
      <c r="I60" s="1191"/>
    </row>
    <row r="61" spans="3:9">
      <c r="C61" s="1153"/>
      <c r="D61" s="1191"/>
      <c r="E61" s="1184"/>
      <c r="F61" s="1191"/>
      <c r="G61" s="1191"/>
      <c r="H61" s="1191"/>
      <c r="I61" s="1191"/>
    </row>
    <row r="62" spans="3:9">
      <c r="C62" s="1153"/>
      <c r="D62" s="1191"/>
      <c r="E62" s="1184"/>
      <c r="F62" s="1191"/>
      <c r="G62" s="1191"/>
      <c r="H62" s="1191"/>
      <c r="I62" s="1191"/>
    </row>
    <row r="63" spans="3:9">
      <c r="C63" s="1153"/>
      <c r="D63" s="1191"/>
      <c r="E63" s="1184"/>
      <c r="F63" s="1191"/>
      <c r="G63" s="1191"/>
      <c r="H63" s="1191"/>
      <c r="I63" s="1191"/>
    </row>
    <row r="64" spans="3:9">
      <c r="C64" s="1153"/>
      <c r="D64" s="1191"/>
      <c r="E64" s="1184"/>
      <c r="F64" s="1191"/>
      <c r="G64" s="1191"/>
      <c r="H64" s="1191"/>
      <c r="I64" s="1191"/>
    </row>
    <row r="65" spans="3:9">
      <c r="C65" s="1153"/>
      <c r="D65" s="1191"/>
      <c r="E65" s="1184"/>
      <c r="F65" s="1191"/>
      <c r="G65" s="1191"/>
      <c r="H65" s="1191"/>
      <c r="I65" s="1191"/>
    </row>
    <row r="66" spans="3:9">
      <c r="C66" s="1153"/>
      <c r="D66" s="1191"/>
      <c r="E66" s="1184"/>
      <c r="F66" s="1191"/>
      <c r="G66" s="1191"/>
      <c r="H66" s="1191"/>
      <c r="I66" s="1191"/>
    </row>
    <row r="67" spans="3:9">
      <c r="C67" s="1153"/>
      <c r="D67" s="1191"/>
      <c r="E67" s="1184"/>
      <c r="F67" s="1191"/>
      <c r="G67" s="1191"/>
      <c r="H67" s="1191"/>
      <c r="I67" s="1191"/>
    </row>
    <row r="68" spans="3:9">
      <c r="C68" s="1153"/>
      <c r="D68" s="1191"/>
      <c r="E68" s="1184"/>
      <c r="F68" s="1191"/>
      <c r="G68" s="1191"/>
      <c r="H68" s="1191"/>
      <c r="I68" s="1191"/>
    </row>
    <row r="69" spans="3:9">
      <c r="C69" s="1153"/>
      <c r="D69" s="1191"/>
      <c r="E69" s="1184"/>
      <c r="F69" s="1191"/>
      <c r="G69" s="1191"/>
      <c r="H69" s="1191"/>
      <c r="I69" s="1191"/>
    </row>
    <row r="70" spans="3:9">
      <c r="C70" s="1153"/>
      <c r="D70" s="1191"/>
      <c r="E70" s="1184"/>
      <c r="F70" s="1191"/>
      <c r="G70" s="1191"/>
      <c r="H70" s="1191"/>
      <c r="I70" s="1191"/>
    </row>
    <row r="71" spans="3:9">
      <c r="C71" s="1153"/>
      <c r="D71" s="1191"/>
      <c r="E71" s="1184"/>
      <c r="F71" s="1191"/>
      <c r="G71" s="1191"/>
      <c r="H71" s="1191"/>
      <c r="I71" s="1191"/>
    </row>
    <row r="72" spans="3:9">
      <c r="C72" s="1153"/>
      <c r="D72" s="1191"/>
      <c r="E72" s="1184"/>
      <c r="F72" s="1191"/>
      <c r="G72" s="1191"/>
      <c r="H72" s="1191"/>
      <c r="I72" s="1191"/>
    </row>
    <row r="73" spans="3:9">
      <c r="C73" s="1153"/>
      <c r="D73" s="1191"/>
      <c r="E73" s="1184"/>
      <c r="F73" s="1191"/>
      <c r="G73" s="1191"/>
      <c r="H73" s="1191"/>
      <c r="I73" s="1191"/>
    </row>
  </sheetData>
  <mergeCells count="4">
    <mergeCell ref="D1:I1"/>
    <mergeCell ref="D2:I2"/>
    <mergeCell ref="E3:H3"/>
    <mergeCell ref="D25:H25"/>
  </mergeCells>
  <phoneticPr fontId="39" type="noConversion"/>
  <printOptions horizontalCentered="1" verticalCentered="1"/>
  <pageMargins left="0" right="0" top="0" bottom="0" header="0" footer="0"/>
  <pageSetup paperSize="9" scale="70" orientation="portrait" r:id="rId1"/>
  <headerFooter alignWithMargins="0">
    <oddHeader>&amp;CPage &amp;P&amp;RMidnimo School Fencing Wall</oddHeader>
    <oddFooter>&amp;RQatar Charity Somalia Office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topLeftCell="A10" workbookViewId="0">
      <selection activeCell="N12" sqref="N12"/>
    </sheetView>
  </sheetViews>
  <sheetFormatPr defaultColWidth="9.140625" defaultRowHeight="12.75"/>
  <cols>
    <col min="1" max="1" width="46.140625" style="1101" customWidth="1"/>
    <col min="2" max="2" width="9.140625" style="1101"/>
    <col min="3" max="3" width="4.7109375" style="1101" customWidth="1"/>
    <col min="4" max="4" width="2.85546875" style="1101" customWidth="1"/>
    <col min="5" max="5" width="17.42578125" style="1101" customWidth="1"/>
    <col min="6" max="8" width="9.140625" style="1101"/>
    <col min="9" max="9" width="10.140625" style="1101" bestFit="1" customWidth="1"/>
    <col min="10" max="10" width="9.140625" style="1101"/>
    <col min="11" max="11" width="13" style="1101" customWidth="1"/>
    <col min="12" max="16384" width="9.140625" style="1101"/>
  </cols>
  <sheetData>
    <row r="1" spans="1:6" ht="16.5" thickTop="1">
      <c r="A1" s="1476" t="s">
        <v>724</v>
      </c>
      <c r="B1" s="1477"/>
      <c r="C1" s="1477"/>
      <c r="D1" s="1477"/>
      <c r="E1" s="1477"/>
      <c r="F1" s="1478"/>
    </row>
    <row r="2" spans="1:6" ht="16.5" thickBot="1">
      <c r="A2" s="1479" t="s">
        <v>729</v>
      </c>
      <c r="B2" s="1480"/>
      <c r="C2" s="1480"/>
      <c r="D2" s="1480"/>
      <c r="E2" s="1480"/>
      <c r="F2" s="1481"/>
    </row>
    <row r="3" spans="1:6" ht="17.25" thickTop="1" thickBot="1">
      <c r="A3" s="1128"/>
      <c r="D3" s="1130"/>
      <c r="E3" s="1129"/>
      <c r="F3" s="1128"/>
    </row>
    <row r="4" spans="1:6" ht="18">
      <c r="A4" s="1482" t="s">
        <v>725</v>
      </c>
      <c r="B4" s="1483"/>
      <c r="C4" s="1483"/>
      <c r="D4" s="1483"/>
      <c r="E4" s="1483"/>
      <c r="F4" s="1484"/>
    </row>
    <row r="5" spans="1:6" ht="15.75">
      <c r="A5" s="1111"/>
      <c r="B5" s="1106"/>
      <c r="C5" s="1106"/>
      <c r="D5" s="1108"/>
      <c r="E5" s="1110"/>
      <c r="F5" s="1109"/>
    </row>
    <row r="6" spans="1:6" ht="15.75">
      <c r="A6" s="1111" t="s">
        <v>726</v>
      </c>
      <c r="B6" s="1106"/>
      <c r="C6" s="1106"/>
      <c r="D6" s="1108"/>
      <c r="E6" s="1110"/>
      <c r="F6" s="1109"/>
    </row>
    <row r="7" spans="1:6" ht="15.75">
      <c r="A7" s="1111"/>
      <c r="B7" s="1106"/>
      <c r="C7" s="1106"/>
      <c r="D7" s="1108"/>
      <c r="E7" s="1110"/>
      <c r="F7" s="1109"/>
    </row>
    <row r="8" spans="1:6" ht="18.75">
      <c r="A8" s="1111" t="s">
        <v>711</v>
      </c>
      <c r="B8" s="1106"/>
      <c r="C8" s="1106"/>
      <c r="D8" s="1108" t="s">
        <v>700</v>
      </c>
      <c r="E8" s="1127" t="e">
        <f>BOQ!#REF!</f>
        <v>#REF!</v>
      </c>
      <c r="F8" s="1124" t="s">
        <v>699</v>
      </c>
    </row>
    <row r="9" spans="1:6" ht="18.75">
      <c r="A9" s="1111"/>
      <c r="B9" s="1106"/>
      <c r="C9" s="1106"/>
      <c r="D9" s="1108"/>
      <c r="E9" s="1127"/>
      <c r="F9" s="1124"/>
    </row>
    <row r="10" spans="1:6" ht="18.75">
      <c r="A10" s="1111" t="s">
        <v>710</v>
      </c>
      <c r="B10" s="1106"/>
      <c r="C10" s="1106"/>
      <c r="D10" s="1108"/>
      <c r="E10" s="1127">
        <v>93000</v>
      </c>
      <c r="F10" s="1124"/>
    </row>
    <row r="11" spans="1:6" ht="15.75">
      <c r="A11" s="1111"/>
      <c r="B11" s="1106"/>
      <c r="C11" s="1106"/>
      <c r="D11" s="1108"/>
      <c r="E11" s="1126"/>
      <c r="F11" s="1124"/>
    </row>
    <row r="12" spans="1:6" ht="21">
      <c r="A12" s="1111" t="s">
        <v>709</v>
      </c>
      <c r="B12" s="1106"/>
      <c r="C12" s="1106"/>
      <c r="D12" s="1108" t="s">
        <v>700</v>
      </c>
      <c r="E12" s="1131" t="e">
        <f>BOQ!#REF!</f>
        <v>#REF!</v>
      </c>
      <c r="F12" s="1124" t="s">
        <v>699</v>
      </c>
    </row>
    <row r="13" spans="1:6" ht="15.75">
      <c r="A13" s="1111"/>
      <c r="B13" s="1106"/>
      <c r="C13" s="1106"/>
      <c r="D13" s="1108"/>
      <c r="E13" s="1125"/>
      <c r="F13" s="1124"/>
    </row>
    <row r="14" spans="1:6" ht="15.75">
      <c r="A14" s="1111" t="s">
        <v>708</v>
      </c>
      <c r="B14" s="1106"/>
      <c r="C14" s="1106"/>
      <c r="D14" s="1108" t="s">
        <v>700</v>
      </c>
      <c r="E14" s="1125">
        <v>0</v>
      </c>
      <c r="F14" s="1124" t="s">
        <v>699</v>
      </c>
    </row>
    <row r="15" spans="1:6" ht="15.75">
      <c r="A15" s="1111"/>
      <c r="B15" s="1106"/>
      <c r="C15" s="1106"/>
      <c r="D15" s="1108"/>
      <c r="E15" s="1125"/>
      <c r="F15" s="1124"/>
    </row>
    <row r="16" spans="1:6" ht="15.75">
      <c r="A16" s="1111" t="s">
        <v>707</v>
      </c>
      <c r="B16" s="1106"/>
      <c r="C16" s="1106"/>
      <c r="D16" s="1108" t="s">
        <v>700</v>
      </c>
      <c r="E16" s="1125" t="e">
        <f>E12</f>
        <v>#REF!</v>
      </c>
      <c r="F16" s="1124" t="s">
        <v>699</v>
      </c>
    </row>
    <row r="17" spans="1:9" ht="15.75">
      <c r="A17" s="1111"/>
      <c r="B17" s="1106"/>
      <c r="C17" s="1106"/>
      <c r="D17" s="1108"/>
      <c r="E17" s="1125"/>
      <c r="F17" s="1124"/>
    </row>
    <row r="18" spans="1:9" ht="15.75">
      <c r="A18" s="1111" t="s">
        <v>727</v>
      </c>
      <c r="B18" s="1106"/>
      <c r="C18" s="1106"/>
      <c r="D18" s="1108" t="s">
        <v>700</v>
      </c>
      <c r="E18" s="1125" t="e">
        <f>0.1*E16</f>
        <v>#REF!</v>
      </c>
      <c r="F18" s="1124" t="s">
        <v>699</v>
      </c>
    </row>
    <row r="19" spans="1:9" ht="15.75">
      <c r="A19" s="1111"/>
      <c r="B19" s="1106"/>
      <c r="C19" s="1106"/>
      <c r="D19" s="1108"/>
      <c r="E19" s="1125"/>
      <c r="F19" s="1124"/>
    </row>
    <row r="20" spans="1:9" ht="15.75">
      <c r="A20" s="1111" t="s">
        <v>706</v>
      </c>
      <c r="B20" s="1106"/>
      <c r="C20" s="1106"/>
      <c r="D20" s="1108" t="s">
        <v>700</v>
      </c>
      <c r="E20" s="1125">
        <v>0</v>
      </c>
      <c r="F20" s="1124" t="s">
        <v>699</v>
      </c>
    </row>
    <row r="21" spans="1:9" ht="15.75">
      <c r="A21" s="1111"/>
      <c r="B21" s="1106"/>
      <c r="C21" s="1106"/>
      <c r="D21" s="1108"/>
      <c r="E21" s="1125"/>
      <c r="F21" s="1124"/>
    </row>
    <row r="22" spans="1:9" ht="15.75">
      <c r="A22" s="1111" t="s">
        <v>705</v>
      </c>
      <c r="B22" s="1106"/>
      <c r="C22" s="1106"/>
      <c r="D22" s="1108" t="s">
        <v>700</v>
      </c>
      <c r="E22" s="1125" t="e">
        <f>E18+E20</f>
        <v>#REF!</v>
      </c>
      <c r="F22" s="1124" t="s">
        <v>699</v>
      </c>
    </row>
    <row r="23" spans="1:9" ht="15.75">
      <c r="A23" s="1111"/>
      <c r="B23" s="1106"/>
      <c r="C23" s="1106"/>
      <c r="D23" s="1108"/>
      <c r="E23" s="1125"/>
      <c r="F23" s="1124"/>
    </row>
    <row r="24" spans="1:9" ht="15.75">
      <c r="A24" s="1111" t="s">
        <v>704</v>
      </c>
      <c r="B24" s="1106"/>
      <c r="C24" s="1106"/>
      <c r="D24" s="1108" t="s">
        <v>700</v>
      </c>
      <c r="E24" s="1125" t="e">
        <f>E16-E22</f>
        <v>#REF!</v>
      </c>
      <c r="F24" s="1124" t="s">
        <v>699</v>
      </c>
    </row>
    <row r="25" spans="1:9" ht="15.75">
      <c r="A25" s="1111"/>
      <c r="B25" s="1106"/>
      <c r="C25" s="1106"/>
      <c r="D25" s="1108"/>
      <c r="E25" s="1125"/>
      <c r="F25" s="1124"/>
    </row>
    <row r="26" spans="1:9" ht="15.75">
      <c r="A26" s="1111" t="s">
        <v>703</v>
      </c>
      <c r="B26" s="1106"/>
      <c r="C26" s="1106"/>
      <c r="D26" s="1108" t="s">
        <v>700</v>
      </c>
      <c r="E26" s="1125">
        <v>0</v>
      </c>
      <c r="F26" s="1124" t="s">
        <v>699</v>
      </c>
      <c r="I26" s="1132"/>
    </row>
    <row r="27" spans="1:9" ht="15.75">
      <c r="A27" s="1111"/>
      <c r="B27" s="1106"/>
      <c r="C27" s="1106"/>
      <c r="D27" s="1108"/>
      <c r="E27" s="1110"/>
      <c r="F27" s="1109"/>
    </row>
    <row r="28" spans="1:9" ht="18">
      <c r="A28" s="1111" t="s">
        <v>702</v>
      </c>
      <c r="B28" s="1123"/>
      <c r="C28" s="1123"/>
      <c r="D28" s="1122" t="s">
        <v>700</v>
      </c>
      <c r="E28" s="1121" t="e">
        <f>E24-E26</f>
        <v>#REF!</v>
      </c>
      <c r="F28" s="1124" t="s">
        <v>699</v>
      </c>
    </row>
    <row r="29" spans="1:9" ht="18.75" thickBot="1">
      <c r="A29" s="1111"/>
      <c r="B29" s="1123"/>
      <c r="C29" s="1123"/>
      <c r="D29" s="1122"/>
      <c r="E29" s="1121"/>
      <c r="F29" s="1120"/>
    </row>
    <row r="30" spans="1:9" ht="18.75" thickBot="1">
      <c r="A30" s="1119" t="s">
        <v>701</v>
      </c>
      <c r="B30" s="1118"/>
      <c r="C30" s="1118"/>
      <c r="D30" s="1117" t="s">
        <v>700</v>
      </c>
      <c r="E30" s="1116" t="e">
        <f>E28</f>
        <v>#REF!</v>
      </c>
      <c r="F30" s="1115" t="s">
        <v>699</v>
      </c>
    </row>
    <row r="31" spans="1:9" ht="16.5" thickBot="1">
      <c r="A31" s="1141"/>
      <c r="B31" s="1103"/>
      <c r="C31" s="1103"/>
      <c r="D31" s="1114"/>
      <c r="E31" s="1113"/>
      <c r="F31" s="1142"/>
    </row>
    <row r="32" spans="1:9" ht="15.75">
      <c r="A32" s="1111" t="s">
        <v>698</v>
      </c>
      <c r="B32" s="1106"/>
      <c r="C32" s="1485" t="s">
        <v>713</v>
      </c>
      <c r="D32" s="1486"/>
      <c r="E32" s="1486"/>
      <c r="F32" s="1487"/>
    </row>
    <row r="33" spans="1:6" ht="15.75">
      <c r="A33" s="1111"/>
      <c r="B33" s="1106"/>
      <c r="C33" s="1106"/>
      <c r="D33" s="1108"/>
      <c r="E33" s="1110"/>
      <c r="F33" s="1109"/>
    </row>
    <row r="34" spans="1:6" ht="15.75">
      <c r="A34" s="1112" t="s">
        <v>712</v>
      </c>
      <c r="B34" s="1106"/>
      <c r="C34" s="1106"/>
      <c r="D34" s="1108"/>
      <c r="E34" s="1110"/>
      <c r="F34" s="1109"/>
    </row>
    <row r="35" spans="1:6" ht="15.75">
      <c r="A35" s="1111"/>
      <c r="B35" s="1106"/>
      <c r="C35" s="1106"/>
      <c r="D35" s="1108"/>
      <c r="E35" s="1110"/>
      <c r="F35" s="1109"/>
    </row>
    <row r="36" spans="1:6" ht="15.75">
      <c r="A36" s="1488" t="s">
        <v>728</v>
      </c>
      <c r="B36" s="1486"/>
      <c r="C36" s="1106"/>
      <c r="D36" s="1108"/>
      <c r="E36" s="1485" t="s">
        <v>697</v>
      </c>
      <c r="F36" s="1487"/>
    </row>
    <row r="37" spans="1:6">
      <c r="A37" s="1107"/>
      <c r="B37" s="1106"/>
      <c r="C37" s="1106"/>
      <c r="D37" s="1106"/>
      <c r="E37" s="1106"/>
      <c r="F37" s="1105"/>
    </row>
    <row r="38" spans="1:6">
      <c r="A38" s="1107"/>
      <c r="B38" s="1106"/>
      <c r="C38" s="1106"/>
      <c r="D38" s="1106"/>
      <c r="E38" s="1106"/>
      <c r="F38" s="1105"/>
    </row>
    <row r="39" spans="1:6">
      <c r="A39" s="1107"/>
      <c r="B39" s="1106"/>
      <c r="C39" s="1106"/>
      <c r="D39" s="1106"/>
      <c r="E39" s="1106"/>
      <c r="F39" s="1105"/>
    </row>
    <row r="40" spans="1:6" ht="13.5" thickBot="1">
      <c r="A40" s="1104"/>
      <c r="B40" s="1103"/>
      <c r="C40" s="1103"/>
      <c r="D40" s="1103"/>
      <c r="E40" s="1103"/>
      <c r="F40" s="1102"/>
    </row>
  </sheetData>
  <mergeCells count="6">
    <mergeCell ref="A1:F1"/>
    <mergeCell ref="A2:F2"/>
    <mergeCell ref="A4:F4"/>
    <mergeCell ref="C32:F32"/>
    <mergeCell ref="E36:F36"/>
    <mergeCell ref="A36:B36"/>
  </mergeCells>
  <printOptions horizontalCentered="1"/>
  <pageMargins left="0.5" right="0.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P26"/>
  <sheetViews>
    <sheetView workbookViewId="0">
      <selection activeCell="B26" sqref="B26"/>
    </sheetView>
  </sheetViews>
  <sheetFormatPr defaultRowHeight="12.75"/>
  <cols>
    <col min="2" max="2" width="17.7109375" bestFit="1" customWidth="1"/>
    <col min="3" max="4" width="5.5703125" bestFit="1" customWidth="1"/>
    <col min="6" max="6" width="19.28515625" bestFit="1" customWidth="1"/>
    <col min="7" max="7" width="12" bestFit="1" customWidth="1"/>
    <col min="8" max="8" width="5.5703125" bestFit="1" customWidth="1"/>
    <col min="10" max="10" width="21" bestFit="1" customWidth="1"/>
    <col min="11" max="11" width="5" bestFit="1" customWidth="1"/>
    <col min="12" max="12" width="10.42578125" customWidth="1"/>
    <col min="13" max="13" width="5" bestFit="1" customWidth="1"/>
    <col min="14" max="14" width="8.140625" customWidth="1"/>
    <col min="16" max="16" width="58.42578125" bestFit="1" customWidth="1"/>
    <col min="17" max="17" width="5" bestFit="1" customWidth="1"/>
    <col min="18" max="18" width="6.5703125" bestFit="1" customWidth="1"/>
    <col min="19" max="20" width="4.85546875" bestFit="1" customWidth="1"/>
    <col min="23" max="23" width="20.5703125" bestFit="1" customWidth="1"/>
    <col min="24" max="24" width="6.5703125" bestFit="1" customWidth="1"/>
    <col min="25" max="25" width="10.7109375" bestFit="1" customWidth="1"/>
    <col min="26" max="27" width="4.85546875" bestFit="1" customWidth="1"/>
    <col min="29" max="29" width="19.140625" bestFit="1" customWidth="1"/>
    <col min="30" max="30" width="5.5703125" bestFit="1" customWidth="1"/>
    <col min="31" max="31" width="9.28515625" bestFit="1" customWidth="1"/>
    <col min="32" max="33" width="4.85546875" bestFit="1" customWidth="1"/>
    <col min="35" max="35" width="13.7109375" bestFit="1" customWidth="1"/>
    <col min="36" max="36" width="7.5703125" bestFit="1" customWidth="1"/>
    <col min="37" max="38" width="6.5703125" bestFit="1" customWidth="1"/>
    <col min="39" max="39" width="5.5703125" bestFit="1" customWidth="1"/>
    <col min="40" max="40" width="12.42578125" bestFit="1" customWidth="1"/>
  </cols>
  <sheetData>
    <row r="1" spans="1:42" ht="13.5" thickBot="1"/>
    <row r="2" spans="1:42" ht="13.5" thickBot="1">
      <c r="A2" s="17"/>
      <c r="B2" s="18" t="s">
        <v>232</v>
      </c>
      <c r="C2" s="19"/>
      <c r="F2" s="18" t="s">
        <v>233</v>
      </c>
      <c r="G2" s="19"/>
      <c r="J2" s="20" t="s">
        <v>234</v>
      </c>
      <c r="P2" s="1489" t="s">
        <v>235</v>
      </c>
      <c r="Q2" s="1490"/>
      <c r="R2" s="1490"/>
      <c r="S2" s="1491"/>
      <c r="W2" s="20" t="s">
        <v>236</v>
      </c>
      <c r="AC2" s="20" t="s">
        <v>237</v>
      </c>
      <c r="AI2" s="1489" t="s">
        <v>238</v>
      </c>
      <c r="AJ2" s="1490"/>
      <c r="AK2" s="1491"/>
    </row>
    <row r="3" spans="1:42" ht="13.5" thickBot="1">
      <c r="B3" s="17"/>
      <c r="G3" s="21"/>
      <c r="J3" s="17"/>
      <c r="Y3" s="22" t="s">
        <v>239</v>
      </c>
      <c r="Z3" s="23"/>
      <c r="AA3" s="24">
        <v>2</v>
      </c>
      <c r="AB3" s="10"/>
      <c r="AC3" s="10"/>
      <c r="AD3" s="10"/>
      <c r="AE3" s="22" t="s">
        <v>240</v>
      </c>
      <c r="AF3" s="23">
        <v>5</v>
      </c>
      <c r="AG3" s="25" t="s">
        <v>241</v>
      </c>
    </row>
    <row r="4" spans="1:42" ht="13.5" thickBot="1">
      <c r="B4" s="1492" t="s">
        <v>242</v>
      </c>
      <c r="C4" s="1493"/>
      <c r="D4" s="1494"/>
      <c r="G4" s="26" t="s">
        <v>243</v>
      </c>
      <c r="H4" s="24">
        <v>6</v>
      </c>
      <c r="J4" s="27"/>
      <c r="K4" s="1492" t="s">
        <v>244</v>
      </c>
      <c r="L4" s="1494"/>
      <c r="M4" s="1492" t="s">
        <v>245</v>
      </c>
      <c r="N4" s="1494"/>
      <c r="O4" s="9"/>
      <c r="P4" s="27"/>
      <c r="Q4" s="1492" t="s">
        <v>244</v>
      </c>
      <c r="R4" s="1494"/>
      <c r="S4" s="1492" t="s">
        <v>245</v>
      </c>
      <c r="T4" s="1494"/>
      <c r="U4" s="9"/>
      <c r="W4" s="27"/>
      <c r="X4" s="1492" t="s">
        <v>244</v>
      </c>
      <c r="Y4" s="1494"/>
      <c r="Z4" s="1492" t="s">
        <v>245</v>
      </c>
      <c r="AA4" s="1494"/>
      <c r="AB4" s="9"/>
      <c r="AC4" s="27"/>
      <c r="AD4" s="1492" t="s">
        <v>244</v>
      </c>
      <c r="AE4" s="1494"/>
      <c r="AF4" s="1492" t="s">
        <v>245</v>
      </c>
      <c r="AG4" s="1494"/>
      <c r="AI4" s="27"/>
      <c r="AJ4" s="1492" t="s">
        <v>244</v>
      </c>
      <c r="AK4" s="1494"/>
      <c r="AL4" s="1492" t="s">
        <v>245</v>
      </c>
      <c r="AM4" s="1494"/>
      <c r="AN4" s="28" t="s">
        <v>246</v>
      </c>
      <c r="AP4" s="77" t="s">
        <v>97</v>
      </c>
    </row>
    <row r="5" spans="1:42" ht="13.5" thickBot="1">
      <c r="B5" s="29" t="s">
        <v>247</v>
      </c>
      <c r="C5" s="30" t="s">
        <v>248</v>
      </c>
      <c r="D5" s="31" t="s">
        <v>241</v>
      </c>
      <c r="F5" s="32" t="s">
        <v>247</v>
      </c>
      <c r="G5" s="33" t="s">
        <v>248</v>
      </c>
      <c r="H5" s="34" t="s">
        <v>241</v>
      </c>
      <c r="J5" s="32" t="s">
        <v>247</v>
      </c>
      <c r="K5" s="35" t="s">
        <v>248</v>
      </c>
      <c r="L5" s="35" t="s">
        <v>241</v>
      </c>
      <c r="M5" s="35" t="s">
        <v>248</v>
      </c>
      <c r="N5" s="35" t="s">
        <v>241</v>
      </c>
      <c r="O5" s="36"/>
      <c r="P5" s="32" t="s">
        <v>247</v>
      </c>
      <c r="Q5" s="35" t="s">
        <v>248</v>
      </c>
      <c r="R5" s="35" t="s">
        <v>241</v>
      </c>
      <c r="S5" s="35" t="s">
        <v>248</v>
      </c>
      <c r="T5" s="35" t="s">
        <v>241</v>
      </c>
      <c r="U5" s="36"/>
      <c r="W5" s="37" t="s">
        <v>247</v>
      </c>
      <c r="X5" s="35" t="s">
        <v>248</v>
      </c>
      <c r="Y5" s="35" t="s">
        <v>241</v>
      </c>
      <c r="Z5" s="35" t="s">
        <v>248</v>
      </c>
      <c r="AA5" s="35" t="s">
        <v>241</v>
      </c>
      <c r="AB5" s="36"/>
      <c r="AC5" s="37" t="s">
        <v>247</v>
      </c>
      <c r="AD5" s="35" t="s">
        <v>248</v>
      </c>
      <c r="AE5" s="35" t="s">
        <v>241</v>
      </c>
      <c r="AF5" s="35" t="s">
        <v>248</v>
      </c>
      <c r="AG5" s="35" t="s">
        <v>241</v>
      </c>
      <c r="AI5" s="38" t="s">
        <v>247</v>
      </c>
      <c r="AJ5" s="35" t="s">
        <v>248</v>
      </c>
      <c r="AK5" s="35" t="s">
        <v>241</v>
      </c>
      <c r="AL5" s="35" t="s">
        <v>248</v>
      </c>
      <c r="AM5" s="35" t="s">
        <v>241</v>
      </c>
      <c r="AN5" s="39" t="s">
        <v>249</v>
      </c>
    </row>
    <row r="6" spans="1:42">
      <c r="B6" s="40" t="s">
        <v>250</v>
      </c>
      <c r="C6" s="15">
        <v>220</v>
      </c>
      <c r="D6" s="41">
        <f>C6/3.6</f>
        <v>61.111111111111107</v>
      </c>
      <c r="F6" s="40" t="s">
        <v>251</v>
      </c>
      <c r="G6" s="2">
        <v>2500</v>
      </c>
      <c r="H6" s="42">
        <f>G6/3.6</f>
        <v>694.44444444444446</v>
      </c>
      <c r="J6" s="43" t="s">
        <v>252</v>
      </c>
      <c r="K6" s="2">
        <v>5400</v>
      </c>
      <c r="L6" s="2">
        <f>K6/3.6</f>
        <v>1500</v>
      </c>
      <c r="M6" s="2">
        <v>800</v>
      </c>
      <c r="N6" s="44">
        <f>M6/3.6</f>
        <v>222.22222222222223</v>
      </c>
      <c r="O6" s="45"/>
      <c r="P6" s="43" t="s">
        <v>253</v>
      </c>
      <c r="Q6" s="2">
        <v>838</v>
      </c>
      <c r="R6" s="46">
        <f>Q6/3.6</f>
        <v>232.77777777777777</v>
      </c>
      <c r="S6" s="2"/>
      <c r="T6" s="44"/>
      <c r="U6" s="45"/>
      <c r="V6" s="45"/>
      <c r="W6" s="43" t="s">
        <v>254</v>
      </c>
      <c r="X6" s="2">
        <v>2200</v>
      </c>
      <c r="Y6" s="47">
        <f>X6/3.6</f>
        <v>611.11111111111109</v>
      </c>
      <c r="Z6" s="2"/>
      <c r="AA6" s="44"/>
      <c r="AB6" s="45"/>
      <c r="AC6" s="43" t="s">
        <v>240</v>
      </c>
      <c r="AD6" s="2">
        <v>25</v>
      </c>
      <c r="AE6" s="47">
        <f>AD6/3.6</f>
        <v>6.9444444444444446</v>
      </c>
      <c r="AF6" s="2"/>
      <c r="AG6" s="44"/>
      <c r="AI6" s="48" t="s">
        <v>252</v>
      </c>
      <c r="AJ6" s="49">
        <f>$C$11+$C$26+$G$7+$Q$6+$Q$7+$X$8+$AD$7+K6</f>
        <v>8182</v>
      </c>
      <c r="AK6" s="49">
        <f>AJ6/3.6</f>
        <v>2272.7777777777778</v>
      </c>
      <c r="AL6" s="49">
        <f>$C$11+$G$7+$S$6+$S$7+$Z$8+M6</f>
        <v>1572.6666666666667</v>
      </c>
      <c r="AM6" s="49">
        <f>AL6/3.6</f>
        <v>436.85185185185185</v>
      </c>
      <c r="AN6" s="44">
        <f>AK6/AM6</f>
        <v>5.2026282323018229</v>
      </c>
      <c r="AP6">
        <f>AL6/28</f>
        <v>56.166666666666671</v>
      </c>
    </row>
    <row r="7" spans="1:42" ht="13.5" thickBot="1">
      <c r="B7" s="43" t="s">
        <v>255</v>
      </c>
      <c r="C7" s="2">
        <v>150</v>
      </c>
      <c r="D7" s="41">
        <f>C7/3.6</f>
        <v>41.666666666666664</v>
      </c>
      <c r="F7" s="50" t="s">
        <v>256</v>
      </c>
      <c r="G7" s="4">
        <f>G6/H4</f>
        <v>416.66666666666669</v>
      </c>
      <c r="H7" s="51">
        <f>G7/3.6</f>
        <v>115.74074074074075</v>
      </c>
      <c r="J7" s="43" t="s">
        <v>257</v>
      </c>
      <c r="K7" s="2">
        <v>4320</v>
      </c>
      <c r="L7" s="2">
        <f>K7/3.6</f>
        <v>1200</v>
      </c>
      <c r="M7" s="2">
        <v>650</v>
      </c>
      <c r="N7" s="44">
        <f>M7/3.6</f>
        <v>180.55555555555554</v>
      </c>
      <c r="O7" s="45"/>
      <c r="P7" s="43" t="s">
        <v>258</v>
      </c>
      <c r="Q7" s="2">
        <f>Q12</f>
        <v>225</v>
      </c>
      <c r="R7" s="46">
        <f>Q7/3.6</f>
        <v>62.5</v>
      </c>
      <c r="S7" s="2">
        <f>Q12</f>
        <v>225</v>
      </c>
      <c r="T7" s="44">
        <f>S7/3.6</f>
        <v>62.5</v>
      </c>
      <c r="U7" s="45"/>
      <c r="V7" s="45"/>
      <c r="W7" s="52" t="s">
        <v>259</v>
      </c>
      <c r="X7" s="47">
        <f>AA3*X6</f>
        <v>4400</v>
      </c>
      <c r="Y7" s="47">
        <f>X7/3.6</f>
        <v>1222.2222222222222</v>
      </c>
      <c r="Z7" s="47">
        <f>AI3*Z6</f>
        <v>0</v>
      </c>
      <c r="AA7" s="44">
        <f>Z7/3.6</f>
        <v>0</v>
      </c>
      <c r="AB7" s="45"/>
      <c r="AC7" s="53" t="s">
        <v>260</v>
      </c>
      <c r="AD7" s="54">
        <f>AD6*30</f>
        <v>750</v>
      </c>
      <c r="AE7" s="55">
        <f>AD7/3.6</f>
        <v>208.33333333333331</v>
      </c>
      <c r="AF7" s="54"/>
      <c r="AG7" s="56"/>
      <c r="AI7" s="48" t="s">
        <v>257</v>
      </c>
      <c r="AJ7" s="49">
        <f>$C$11+$C$26+$G$7+$Q$6+$Q$7+$X$8+$AD$7+K7</f>
        <v>7102</v>
      </c>
      <c r="AK7" s="49">
        <f>AJ7/3.6</f>
        <v>1972.7777777777778</v>
      </c>
      <c r="AL7" s="49">
        <f>$C$11+$G$7+$S$6+$S$7+$Z$8+M7</f>
        <v>1422.6666666666667</v>
      </c>
      <c r="AM7" s="49">
        <f>AL7/3.6</f>
        <v>395.18518518518522</v>
      </c>
      <c r="AN7" s="44">
        <f>AK7/AM7</f>
        <v>4.9920337394564198</v>
      </c>
      <c r="AP7">
        <f>AL7/28</f>
        <v>50.80952380952381</v>
      </c>
    </row>
    <row r="8" spans="1:42" ht="13.5" thickBot="1">
      <c r="B8" s="43" t="s">
        <v>261</v>
      </c>
      <c r="C8" s="2">
        <v>100</v>
      </c>
      <c r="D8" s="41">
        <f>C8/3.6</f>
        <v>27.777777777777779</v>
      </c>
      <c r="J8" s="43" t="s">
        <v>262</v>
      </c>
      <c r="K8" s="2">
        <v>8100</v>
      </c>
      <c r="L8" s="2">
        <f>K8/3.6</f>
        <v>2250</v>
      </c>
      <c r="M8" s="2">
        <v>1000</v>
      </c>
      <c r="N8" s="44">
        <f>M8/3.6</f>
        <v>277.77777777777777</v>
      </c>
      <c r="O8" s="45"/>
      <c r="P8" s="45"/>
      <c r="Q8" s="45"/>
      <c r="R8" s="45"/>
      <c r="S8" s="45"/>
      <c r="T8" s="45"/>
      <c r="U8" s="45"/>
      <c r="V8" s="45"/>
      <c r="W8" s="57" t="s">
        <v>263</v>
      </c>
      <c r="X8" s="55">
        <f>X7/12</f>
        <v>366.66666666666669</v>
      </c>
      <c r="Y8" s="55">
        <f>Y7/12</f>
        <v>101.85185185185185</v>
      </c>
      <c r="Z8" s="55">
        <f>Z7/12</f>
        <v>0</v>
      </c>
      <c r="AA8" s="56">
        <f>AA7/12</f>
        <v>0</v>
      </c>
      <c r="AB8" s="45"/>
      <c r="AC8" s="45"/>
      <c r="AD8" s="45"/>
      <c r="AE8" s="45"/>
      <c r="AF8" s="45"/>
      <c r="AG8" s="45"/>
      <c r="AI8" s="48" t="s">
        <v>262</v>
      </c>
      <c r="AJ8" s="49">
        <f>$C$11+$C$26+$G$7+$Q$6+$Q$7+$X$8+$AD$7+K8</f>
        <v>10882</v>
      </c>
      <c r="AK8" s="49">
        <f>AJ8/3.6</f>
        <v>3022.7777777777778</v>
      </c>
      <c r="AL8" s="49">
        <f>$C$11+$G$7+$S$6+$S$7+$Z$8+M8</f>
        <v>1772.6666666666667</v>
      </c>
      <c r="AM8" s="49">
        <f>AL8/3.6</f>
        <v>492.40740740740739</v>
      </c>
      <c r="AN8" s="44">
        <f>AK8/AM8</f>
        <v>6.1387739751786388</v>
      </c>
    </row>
    <row r="9" spans="1:42" ht="13.5" thickBot="1">
      <c r="B9" s="58" t="s">
        <v>264</v>
      </c>
      <c r="C9" s="13">
        <v>1102</v>
      </c>
      <c r="D9" s="59">
        <f>C9/3.6</f>
        <v>306.11111111111109</v>
      </c>
      <c r="H9" s="60"/>
      <c r="J9" s="50" t="s">
        <v>265</v>
      </c>
      <c r="K9" s="4">
        <v>7200</v>
      </c>
      <c r="L9" s="4">
        <f>K9/3.6</f>
        <v>2000</v>
      </c>
      <c r="M9" s="4">
        <v>1200</v>
      </c>
      <c r="N9" s="56">
        <f>M9/3.6</f>
        <v>333.33333333333331</v>
      </c>
      <c r="O9" s="45"/>
      <c r="P9" s="61" t="s">
        <v>266</v>
      </c>
      <c r="Q9" s="45"/>
      <c r="R9" s="45"/>
      <c r="S9" s="45"/>
      <c r="T9" s="45"/>
      <c r="U9" s="45"/>
      <c r="V9" s="45"/>
      <c r="W9" s="45"/>
      <c r="X9" s="45"/>
      <c r="Y9" s="45"/>
      <c r="Z9" s="45"/>
      <c r="AA9" s="6"/>
      <c r="AB9" s="6"/>
      <c r="AC9" s="6"/>
      <c r="AD9" s="6"/>
      <c r="AE9" s="6"/>
      <c r="AF9" s="6"/>
      <c r="AG9" s="6"/>
      <c r="AI9" s="62" t="s">
        <v>265</v>
      </c>
      <c r="AJ9" s="63">
        <f>$C$11+$C$26+$G$7+$Q$6+$Q$7+$X$8+$AD$7+K9</f>
        <v>9982</v>
      </c>
      <c r="AK9" s="63">
        <f>AJ9/3.6</f>
        <v>2772.7777777777778</v>
      </c>
      <c r="AL9" s="63">
        <f>$C$11+$G$7+$S$6+$S$7+$Z$8+M9</f>
        <v>1972.6666666666667</v>
      </c>
      <c r="AM9" s="63">
        <f>AL9/3.6</f>
        <v>547.96296296296293</v>
      </c>
      <c r="AN9" s="56">
        <f>AK9/AM9</f>
        <v>5.0601554579249752</v>
      </c>
    </row>
    <row r="10" spans="1:42" ht="13.5" thickBot="1">
      <c r="B10" s="64" t="s">
        <v>110</v>
      </c>
      <c r="C10" s="11">
        <f>SUM(C6:C9)</f>
        <v>1572</v>
      </c>
      <c r="D10" s="65">
        <f>SUM(D6:D9)</f>
        <v>436.66666666666663</v>
      </c>
      <c r="H10" s="60"/>
      <c r="Q10" s="17"/>
    </row>
    <row r="11" spans="1:42" ht="13.5" thickBot="1">
      <c r="B11" s="66" t="s">
        <v>267</v>
      </c>
      <c r="C11" s="67">
        <f>C10/12</f>
        <v>131</v>
      </c>
      <c r="D11" s="65">
        <f>D10/12</f>
        <v>36.388888888888886</v>
      </c>
      <c r="H11" s="60"/>
      <c r="P11" s="68" t="s">
        <v>268</v>
      </c>
      <c r="Q11" s="7">
        <f>500*30*12*0.015</f>
        <v>2700</v>
      </c>
    </row>
    <row r="12" spans="1:42" ht="13.5" thickBot="1">
      <c r="P12" s="69" t="s">
        <v>269</v>
      </c>
      <c r="Q12" s="5">
        <f>Q11/12</f>
        <v>225</v>
      </c>
    </row>
    <row r="13" spans="1:42" ht="13.5" thickBot="1">
      <c r="B13" s="1492" t="s">
        <v>270</v>
      </c>
      <c r="C13" s="1493"/>
      <c r="D13" s="1494"/>
      <c r="E13" s="61"/>
    </row>
    <row r="14" spans="1:42" ht="13.5" thickBot="1">
      <c r="B14" s="70" t="s">
        <v>247</v>
      </c>
      <c r="C14" s="71" t="s">
        <v>248</v>
      </c>
      <c r="D14" s="72" t="s">
        <v>241</v>
      </c>
    </row>
    <row r="15" spans="1:42">
      <c r="B15" s="40" t="s">
        <v>264</v>
      </c>
      <c r="C15" s="15">
        <v>1102</v>
      </c>
      <c r="D15" s="41">
        <f>C15/3.6</f>
        <v>306.11111111111109</v>
      </c>
    </row>
    <row r="16" spans="1:42" ht="13.5" thickBot="1">
      <c r="B16" s="58" t="s">
        <v>261</v>
      </c>
      <c r="C16" s="13">
        <v>100</v>
      </c>
      <c r="D16" s="59">
        <f>C16/3.6</f>
        <v>27.777777777777779</v>
      </c>
    </row>
    <row r="17" spans="2:4" ht="13.5" thickBot="1">
      <c r="B17" s="64" t="s">
        <v>110</v>
      </c>
      <c r="C17" s="73">
        <f>SUM(C15:C16)</f>
        <v>1202</v>
      </c>
      <c r="D17" s="65">
        <f>SUM(D15:D16)</f>
        <v>333.88888888888886</v>
      </c>
    </row>
    <row r="18" spans="2:4" ht="13.5" thickBot="1">
      <c r="B18" s="66" t="s">
        <v>267</v>
      </c>
      <c r="C18" s="65">
        <f>C17/12</f>
        <v>100.16666666666667</v>
      </c>
      <c r="D18" s="65">
        <f>D17/12</f>
        <v>27.824074074074073</v>
      </c>
    </row>
    <row r="19" spans="2:4" ht="13.5" thickBot="1"/>
    <row r="20" spans="2:4" ht="13.5" thickBot="1">
      <c r="B20" s="1492" t="s">
        <v>271</v>
      </c>
      <c r="C20" s="1493"/>
      <c r="D20" s="1494"/>
    </row>
    <row r="21" spans="2:4" ht="13.5" thickBot="1">
      <c r="B21" s="70" t="s">
        <v>247</v>
      </c>
      <c r="C21" s="71" t="s">
        <v>248</v>
      </c>
      <c r="D21" s="72" t="s">
        <v>241</v>
      </c>
    </row>
    <row r="22" spans="2:4">
      <c r="B22" s="74" t="s">
        <v>272</v>
      </c>
      <c r="C22" s="16">
        <v>227</v>
      </c>
      <c r="D22" s="41">
        <f>C22/3.6</f>
        <v>63.055555555555557</v>
      </c>
    </row>
    <row r="23" spans="2:4">
      <c r="B23" s="75" t="s">
        <v>273</v>
      </c>
      <c r="C23" s="3">
        <v>378</v>
      </c>
      <c r="D23" s="41">
        <f>C23/3.6</f>
        <v>105</v>
      </c>
    </row>
    <row r="24" spans="2:4" ht="13.5" thickBot="1">
      <c r="B24" s="76" t="s">
        <v>261</v>
      </c>
      <c r="C24" s="14">
        <v>51</v>
      </c>
      <c r="D24" s="59">
        <f>C24/3.6</f>
        <v>14.166666666666666</v>
      </c>
    </row>
    <row r="25" spans="2:4" ht="13.5" thickBot="1">
      <c r="B25" s="64" t="s">
        <v>110</v>
      </c>
      <c r="C25" s="73">
        <f>SUM(C22:C24)</f>
        <v>656</v>
      </c>
      <c r="D25" s="65">
        <f>SUM(D22:D24)</f>
        <v>182.2222222222222</v>
      </c>
    </row>
    <row r="26" spans="2:4" ht="13.5" thickBot="1">
      <c r="B26" s="66" t="s">
        <v>267</v>
      </c>
      <c r="C26" s="65">
        <f>C25/12</f>
        <v>54.666666666666664</v>
      </c>
      <c r="D26" s="65">
        <f>D25/12</f>
        <v>15.185185185185183</v>
      </c>
    </row>
  </sheetData>
  <mergeCells count="15">
    <mergeCell ref="B20:D20"/>
    <mergeCell ref="B13:D13"/>
    <mergeCell ref="AL4:AM4"/>
    <mergeCell ref="Q4:R4"/>
    <mergeCell ref="S4:T4"/>
    <mergeCell ref="X4:Y4"/>
    <mergeCell ref="Z4:AA4"/>
    <mergeCell ref="P2:S2"/>
    <mergeCell ref="AI2:AK2"/>
    <mergeCell ref="B4:D4"/>
    <mergeCell ref="K4:L4"/>
    <mergeCell ref="M4:N4"/>
    <mergeCell ref="AD4:AE4"/>
    <mergeCell ref="AF4:AG4"/>
    <mergeCell ref="AJ4:AK4"/>
  </mergeCells>
  <phoneticPr fontId="39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33"/>
  <sheetViews>
    <sheetView workbookViewId="0">
      <selection activeCell="B6" sqref="B6"/>
    </sheetView>
  </sheetViews>
  <sheetFormatPr defaultRowHeight="12.75"/>
  <cols>
    <col min="1" max="1" width="6.5703125" customWidth="1"/>
    <col min="2" max="2" width="41" customWidth="1"/>
    <col min="3" max="3" width="11.85546875" customWidth="1"/>
    <col min="4" max="5" width="12.85546875" customWidth="1"/>
    <col min="6" max="6" width="17" bestFit="1" customWidth="1"/>
    <col min="7" max="7" width="55.7109375" customWidth="1"/>
  </cols>
  <sheetData>
    <row r="2" spans="1:15" ht="15">
      <c r="A2" s="1495" t="s">
        <v>323</v>
      </c>
      <c r="B2" s="1495"/>
      <c r="C2" s="1495"/>
      <c r="D2" s="1495"/>
      <c r="E2" s="148"/>
      <c r="F2" s="148"/>
    </row>
    <row r="3" spans="1:15">
      <c r="A3" s="1"/>
      <c r="B3" s="1"/>
      <c r="C3" s="1"/>
      <c r="D3" s="1"/>
      <c r="E3" s="1"/>
      <c r="F3" s="1"/>
    </row>
    <row r="4" spans="1:15" ht="13.5" thickBot="1">
      <c r="A4" s="1"/>
      <c r="B4" s="1"/>
      <c r="C4" s="1"/>
      <c r="D4" s="1"/>
      <c r="E4" s="1"/>
      <c r="F4" s="1"/>
    </row>
    <row r="5" spans="1:15" ht="15.75" thickBot="1">
      <c r="A5" s="142" t="s">
        <v>299</v>
      </c>
      <c r="B5" s="143" t="s">
        <v>324</v>
      </c>
      <c r="C5" s="146" t="s">
        <v>326</v>
      </c>
      <c r="D5" s="146" t="s">
        <v>325</v>
      </c>
      <c r="E5" s="149" t="s">
        <v>330</v>
      </c>
      <c r="F5" s="149" t="s">
        <v>331</v>
      </c>
      <c r="G5" s="144" t="s">
        <v>327</v>
      </c>
    </row>
    <row r="6" spans="1:15" s="155" customFormat="1" ht="38.25">
      <c r="A6" s="152">
        <v>1</v>
      </c>
      <c r="B6" s="156" t="s">
        <v>328</v>
      </c>
      <c r="C6" s="153">
        <v>4603111</v>
      </c>
      <c r="D6" s="153">
        <v>4603777</v>
      </c>
      <c r="E6" s="154">
        <v>24878</v>
      </c>
      <c r="F6" s="157" t="s">
        <v>332</v>
      </c>
      <c r="G6" s="160" t="s">
        <v>329</v>
      </c>
    </row>
    <row r="7" spans="1:15">
      <c r="A7" s="12"/>
      <c r="B7" s="2"/>
      <c r="C7" s="8">
        <v>4501958</v>
      </c>
      <c r="D7" s="8"/>
      <c r="E7" s="150"/>
      <c r="F7" s="150"/>
      <c r="G7" s="3"/>
    </row>
    <row r="8" spans="1:15">
      <c r="A8" s="145"/>
      <c r="B8" s="2"/>
      <c r="C8" s="8">
        <v>4501959</v>
      </c>
      <c r="D8" s="8"/>
      <c r="E8" s="150"/>
      <c r="F8" s="150"/>
      <c r="G8" s="3"/>
    </row>
    <row r="9" spans="1:15">
      <c r="A9" s="145"/>
      <c r="B9" s="2"/>
      <c r="C9" s="8"/>
      <c r="D9" s="8"/>
      <c r="E9" s="150"/>
      <c r="F9" s="150"/>
      <c r="G9" s="3"/>
    </row>
    <row r="10" spans="1:15" ht="38.25">
      <c r="A10" s="12">
        <v>2</v>
      </c>
      <c r="B10" s="158" t="s">
        <v>333</v>
      </c>
      <c r="C10" s="8">
        <v>4600175</v>
      </c>
      <c r="D10" s="8">
        <v>4600174</v>
      </c>
      <c r="E10" s="150">
        <v>3221</v>
      </c>
      <c r="F10" s="159" t="s">
        <v>334</v>
      </c>
      <c r="G10" s="160" t="s">
        <v>329</v>
      </c>
    </row>
    <row r="11" spans="1:15">
      <c r="A11" s="145">
        <v>3</v>
      </c>
      <c r="B11" s="2"/>
      <c r="C11" s="8">
        <v>4600176</v>
      </c>
      <c r="D11" s="8"/>
      <c r="E11" s="150"/>
      <c r="F11" s="150"/>
      <c r="G11" s="3"/>
    </row>
    <row r="12" spans="1:15">
      <c r="A12" s="12">
        <v>6</v>
      </c>
      <c r="B12" s="2"/>
      <c r="C12" s="8">
        <v>4600037</v>
      </c>
      <c r="D12" s="8"/>
      <c r="E12" s="150"/>
      <c r="F12" s="150"/>
      <c r="G12" s="3"/>
    </row>
    <row r="13" spans="1:15">
      <c r="A13" s="145">
        <v>7</v>
      </c>
      <c r="B13" s="2"/>
      <c r="C13" s="8"/>
      <c r="D13" s="8"/>
      <c r="E13" s="150"/>
      <c r="F13" s="150"/>
      <c r="G13" s="3"/>
    </row>
    <row r="14" spans="1:15">
      <c r="A14" s="12">
        <v>8</v>
      </c>
      <c r="B14" s="2"/>
      <c r="C14" s="8"/>
      <c r="D14" s="8"/>
      <c r="E14" s="150"/>
      <c r="F14" s="150"/>
      <c r="G14" s="3"/>
    </row>
    <row r="15" spans="1:15">
      <c r="A15" s="145">
        <v>9</v>
      </c>
      <c r="B15" s="2"/>
      <c r="C15" s="8"/>
      <c r="D15" s="8"/>
      <c r="E15" s="150"/>
      <c r="F15" s="150"/>
      <c r="G15" s="3"/>
      <c r="O15" s="141"/>
    </row>
    <row r="16" spans="1:15">
      <c r="A16" s="12">
        <v>10</v>
      </c>
      <c r="B16" s="2"/>
      <c r="C16" s="8"/>
      <c r="D16" s="8"/>
      <c r="E16" s="150"/>
      <c r="F16" s="150"/>
      <c r="G16" s="3"/>
    </row>
    <row r="17" spans="1:7">
      <c r="A17" s="145">
        <v>11</v>
      </c>
      <c r="B17" s="2"/>
      <c r="C17" s="8"/>
      <c r="D17" s="8"/>
      <c r="E17" s="150"/>
      <c r="F17" s="150"/>
      <c r="G17" s="3"/>
    </row>
    <row r="18" spans="1:7">
      <c r="A18" s="12">
        <v>12</v>
      </c>
      <c r="B18" s="2"/>
      <c r="C18" s="8"/>
      <c r="D18" s="8"/>
      <c r="E18" s="150"/>
      <c r="F18" s="150"/>
      <c r="G18" s="3"/>
    </row>
    <row r="19" spans="1:7">
      <c r="A19" s="145">
        <v>13</v>
      </c>
      <c r="B19" s="2"/>
      <c r="C19" s="8"/>
      <c r="D19" s="8"/>
      <c r="E19" s="150"/>
      <c r="F19" s="150"/>
      <c r="G19" s="3"/>
    </row>
    <row r="20" spans="1:7">
      <c r="A20" s="12">
        <v>14</v>
      </c>
      <c r="B20" s="2"/>
      <c r="C20" s="8"/>
      <c r="D20" s="8"/>
      <c r="E20" s="150"/>
      <c r="F20" s="150"/>
      <c r="G20" s="3"/>
    </row>
    <row r="21" spans="1:7">
      <c r="A21" s="145">
        <v>15</v>
      </c>
      <c r="B21" s="2"/>
      <c r="C21" s="8"/>
      <c r="D21" s="8"/>
      <c r="E21" s="150"/>
      <c r="F21" s="150"/>
      <c r="G21" s="3"/>
    </row>
    <row r="22" spans="1:7">
      <c r="A22" s="12">
        <v>16</v>
      </c>
      <c r="B22" s="2"/>
      <c r="C22" s="8"/>
      <c r="D22" s="8"/>
      <c r="E22" s="150"/>
      <c r="F22" s="150"/>
      <c r="G22" s="3"/>
    </row>
    <row r="23" spans="1:7">
      <c r="A23" s="145">
        <v>17</v>
      </c>
      <c r="B23" s="2"/>
      <c r="C23" s="8"/>
      <c r="D23" s="8"/>
      <c r="E23" s="150"/>
      <c r="F23" s="150"/>
      <c r="G23" s="3"/>
    </row>
    <row r="24" spans="1:7">
      <c r="A24" s="12">
        <v>18</v>
      </c>
      <c r="B24" s="2"/>
      <c r="C24" s="8"/>
      <c r="D24" s="8"/>
      <c r="E24" s="150"/>
      <c r="F24" s="150"/>
      <c r="G24" s="3"/>
    </row>
    <row r="25" spans="1:7">
      <c r="A25" s="145">
        <v>19</v>
      </c>
      <c r="B25" s="2"/>
      <c r="C25" s="8"/>
      <c r="D25" s="8"/>
      <c r="E25" s="150"/>
      <c r="F25" s="150"/>
      <c r="G25" s="3"/>
    </row>
    <row r="26" spans="1:7">
      <c r="A26" s="12">
        <v>20</v>
      </c>
      <c r="B26" s="2"/>
      <c r="C26" s="8"/>
      <c r="D26" s="8"/>
      <c r="E26" s="150"/>
      <c r="F26" s="150"/>
      <c r="G26" s="3"/>
    </row>
    <row r="27" spans="1:7">
      <c r="A27" s="145">
        <v>21</v>
      </c>
      <c r="B27" s="2"/>
      <c r="C27" s="8"/>
      <c r="D27" s="8"/>
      <c r="E27" s="150"/>
      <c r="F27" s="150"/>
      <c r="G27" s="3"/>
    </row>
    <row r="28" spans="1:7">
      <c r="A28" s="12">
        <v>22</v>
      </c>
      <c r="B28" s="2"/>
      <c r="C28" s="8"/>
      <c r="D28" s="8"/>
      <c r="E28" s="150"/>
      <c r="F28" s="150"/>
      <c r="G28" s="3"/>
    </row>
    <row r="29" spans="1:7">
      <c r="A29" s="145">
        <v>23</v>
      </c>
      <c r="B29" s="2"/>
      <c r="C29" s="8"/>
      <c r="D29" s="8"/>
      <c r="E29" s="150"/>
      <c r="F29" s="150"/>
      <c r="G29" s="3"/>
    </row>
    <row r="30" spans="1:7">
      <c r="A30" s="12">
        <v>24</v>
      </c>
      <c r="B30" s="2"/>
      <c r="C30" s="8"/>
      <c r="D30" s="8"/>
      <c r="E30" s="150"/>
      <c r="F30" s="150"/>
      <c r="G30" s="3"/>
    </row>
    <row r="31" spans="1:7">
      <c r="A31" s="145">
        <v>25</v>
      </c>
      <c r="B31" s="2"/>
      <c r="C31" s="8"/>
      <c r="D31" s="8"/>
      <c r="E31" s="150"/>
      <c r="F31" s="150"/>
      <c r="G31" s="3"/>
    </row>
    <row r="32" spans="1:7">
      <c r="A32" s="12">
        <v>26</v>
      </c>
      <c r="B32" s="2"/>
      <c r="C32" s="8"/>
      <c r="D32" s="8"/>
      <c r="E32" s="150"/>
      <c r="F32" s="150"/>
      <c r="G32" s="3"/>
    </row>
    <row r="33" spans="1:7" ht="13.5" thickBot="1">
      <c r="A33" s="145">
        <v>27</v>
      </c>
      <c r="B33" s="4"/>
      <c r="C33" s="147"/>
      <c r="D33" s="147"/>
      <c r="E33" s="151"/>
      <c r="F33" s="151"/>
      <c r="G33" s="5"/>
    </row>
  </sheetData>
  <mergeCells count="1">
    <mergeCell ref="A2:D2"/>
  </mergeCells>
  <phoneticPr fontId="39" type="noConversion"/>
  <hyperlinks>
    <hyperlink ref="F6" r:id="rId1"/>
    <hyperlink ref="F10" r:id="rId2"/>
  </hyperlinks>
  <pageMargins left="0.7" right="0.7" top="0.75" bottom="0.75" header="0.3" footer="0.3"/>
  <pageSetup orientation="portrait" horizontalDpi="4294967293" verticalDpi="0"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2"/>
  <sheetViews>
    <sheetView zoomScale="80" zoomScaleNormal="80" workbookViewId="0">
      <selection activeCell="I34" sqref="I34"/>
    </sheetView>
  </sheetViews>
  <sheetFormatPr defaultColWidth="9.140625" defaultRowHeight="12.75"/>
  <cols>
    <col min="1" max="1" width="9.140625" style="324"/>
    <col min="2" max="2" width="16" style="324" customWidth="1"/>
    <col min="3" max="5" width="9.140625" style="324"/>
    <col min="6" max="6" width="31" style="324" customWidth="1"/>
    <col min="7" max="9" width="9.140625" style="324"/>
    <col min="10" max="10" width="8.7109375" style="324" customWidth="1"/>
    <col min="11" max="11" width="9.140625" style="324"/>
    <col min="12" max="12" width="20.28515625" style="324" customWidth="1"/>
    <col min="13" max="15" width="9.140625" style="324"/>
    <col min="16" max="16" width="8.5703125" style="324" customWidth="1"/>
    <col min="17" max="17" width="13" style="324" bestFit="1" customWidth="1"/>
    <col min="18" max="16384" width="9.140625" style="324"/>
  </cols>
  <sheetData>
    <row r="1" spans="1:23" ht="13.5" thickBot="1">
      <c r="C1" s="325"/>
    </row>
    <row r="2" spans="1:23" ht="13.5" thickBot="1">
      <c r="B2" s="326" t="s">
        <v>232</v>
      </c>
      <c r="C2" s="327"/>
      <c r="D2" s="328"/>
      <c r="E2" s="328"/>
      <c r="F2" s="326" t="s">
        <v>233</v>
      </c>
      <c r="G2" s="327"/>
      <c r="H2" s="328"/>
      <c r="I2" s="328"/>
      <c r="L2" s="329" t="s">
        <v>493</v>
      </c>
      <c r="O2" s="328"/>
      <c r="P2" s="328"/>
      <c r="Q2" s="328"/>
      <c r="W2" s="328"/>
    </row>
    <row r="3" spans="1:23" ht="13.5" thickBot="1">
      <c r="B3" s="328"/>
      <c r="C3" s="328"/>
      <c r="D3" s="328"/>
      <c r="E3" s="328"/>
      <c r="F3" s="328"/>
      <c r="G3" s="330"/>
      <c r="H3" s="328"/>
      <c r="I3" s="328"/>
      <c r="M3" s="328"/>
      <c r="N3" s="328"/>
      <c r="Q3" s="328"/>
      <c r="W3" s="328"/>
    </row>
    <row r="4" spans="1:23" ht="13.5" thickBot="1">
      <c r="B4" s="1254" t="s">
        <v>242</v>
      </c>
      <c r="C4" s="1259"/>
      <c r="D4" s="1255"/>
      <c r="E4" s="328"/>
      <c r="F4" s="331" t="s">
        <v>494</v>
      </c>
      <c r="G4" s="332" t="s">
        <v>243</v>
      </c>
      <c r="H4" s="333">
        <v>6</v>
      </c>
      <c r="I4" s="328"/>
      <c r="L4" s="334" t="s">
        <v>495</v>
      </c>
      <c r="M4" s="335"/>
      <c r="N4" s="333">
        <v>2</v>
      </c>
      <c r="O4" s="1260"/>
      <c r="P4" s="1260"/>
      <c r="Q4" s="336"/>
      <c r="W4" s="328"/>
    </row>
    <row r="5" spans="1:23">
      <c r="B5" s="337" t="s">
        <v>247</v>
      </c>
      <c r="C5" s="338" t="s">
        <v>248</v>
      </c>
      <c r="D5" s="339" t="s">
        <v>241</v>
      </c>
      <c r="E5" s="328"/>
      <c r="F5" s="340" t="s">
        <v>247</v>
      </c>
      <c r="G5" s="341" t="s">
        <v>248</v>
      </c>
      <c r="H5" s="342" t="s">
        <v>241</v>
      </c>
      <c r="I5" s="328"/>
      <c r="L5" s="340" t="s">
        <v>247</v>
      </c>
      <c r="M5" s="343" t="s">
        <v>248</v>
      </c>
      <c r="N5" s="344" t="s">
        <v>241</v>
      </c>
      <c r="O5" s="345"/>
      <c r="P5" s="345"/>
      <c r="Q5" s="345"/>
      <c r="W5" s="328"/>
    </row>
    <row r="6" spans="1:23">
      <c r="B6" s="346" t="s">
        <v>250</v>
      </c>
      <c r="C6" s="347">
        <v>220</v>
      </c>
      <c r="D6" s="348">
        <f>C6/3.6</f>
        <v>61.111111111111107</v>
      </c>
      <c r="E6" s="328"/>
      <c r="F6" s="349" t="s">
        <v>251</v>
      </c>
      <c r="G6" s="350">
        <v>2500</v>
      </c>
      <c r="H6" s="351">
        <f>G6/3.6</f>
        <v>694.44444444444446</v>
      </c>
      <c r="I6" s="328"/>
      <c r="L6" s="349" t="s">
        <v>254</v>
      </c>
      <c r="M6" s="350">
        <v>2200</v>
      </c>
      <c r="N6" s="352">
        <f>M6/3.6</f>
        <v>611.11111111111109</v>
      </c>
      <c r="O6" s="328"/>
      <c r="P6" s="353"/>
      <c r="Q6" s="353"/>
      <c r="W6" s="328"/>
    </row>
    <row r="7" spans="1:23" ht="15.75" customHeight="1" thickBot="1">
      <c r="B7" s="349" t="s">
        <v>255</v>
      </c>
      <c r="C7" s="350">
        <v>150</v>
      </c>
      <c r="D7" s="348">
        <f>C7/3.6</f>
        <v>41.666666666666664</v>
      </c>
      <c r="E7" s="328"/>
      <c r="F7" s="354" t="s">
        <v>256</v>
      </c>
      <c r="G7" s="355">
        <f>G6/H4</f>
        <v>416.66666666666669</v>
      </c>
      <c r="H7" s="356">
        <f>G7/3.6</f>
        <v>115.74074074074075</v>
      </c>
      <c r="I7" s="328"/>
      <c r="L7" s="357" t="s">
        <v>259</v>
      </c>
      <c r="M7" s="358">
        <f>N4*M6</f>
        <v>4400</v>
      </c>
      <c r="N7" s="352">
        <f>M7/3.6</f>
        <v>1222.2222222222222</v>
      </c>
      <c r="O7" s="353"/>
      <c r="P7" s="353"/>
      <c r="Q7" s="353"/>
      <c r="W7" s="328"/>
    </row>
    <row r="8" spans="1:23" ht="13.5" thickBot="1">
      <c r="B8" s="349" t="s">
        <v>261</v>
      </c>
      <c r="C8" s="350">
        <v>100</v>
      </c>
      <c r="D8" s="348">
        <f>C8/3.6</f>
        <v>27.777777777777779</v>
      </c>
      <c r="E8" s="328"/>
      <c r="F8" s="331" t="s">
        <v>496</v>
      </c>
      <c r="G8" s="332" t="s">
        <v>243</v>
      </c>
      <c r="H8" s="333">
        <v>5</v>
      </c>
      <c r="I8" s="328"/>
      <c r="L8" s="359" t="s">
        <v>263</v>
      </c>
      <c r="M8" s="360">
        <f>M7/12</f>
        <v>366.66666666666669</v>
      </c>
      <c r="N8" s="361">
        <f>N7/12</f>
        <v>101.85185185185185</v>
      </c>
      <c r="O8" s="353"/>
      <c r="P8" s="353"/>
      <c r="Q8" s="353"/>
      <c r="R8" s="353"/>
      <c r="S8" s="353"/>
      <c r="T8" s="353"/>
      <c r="U8" s="353"/>
      <c r="V8" s="353"/>
      <c r="W8" s="328"/>
    </row>
    <row r="9" spans="1:23" ht="13.5" thickBot="1">
      <c r="B9" s="362" t="s">
        <v>264</v>
      </c>
      <c r="C9" s="363">
        <v>1102</v>
      </c>
      <c r="D9" s="364">
        <f>C9/3.6</f>
        <v>306.11111111111109</v>
      </c>
      <c r="E9" s="328"/>
      <c r="F9" s="340" t="s">
        <v>247</v>
      </c>
      <c r="G9" s="341" t="s">
        <v>248</v>
      </c>
      <c r="H9" s="342" t="s">
        <v>241</v>
      </c>
      <c r="I9" s="328"/>
      <c r="L9" s="353"/>
      <c r="M9" s="353"/>
      <c r="N9" s="353"/>
      <c r="O9" s="353"/>
      <c r="P9" s="328"/>
      <c r="Q9" s="328"/>
      <c r="R9" s="328"/>
      <c r="S9" s="328"/>
      <c r="T9" s="328"/>
      <c r="U9" s="328"/>
      <c r="V9" s="328"/>
      <c r="W9" s="328"/>
    </row>
    <row r="10" spans="1:23" ht="13.5" thickBot="1">
      <c r="B10" s="365" t="s">
        <v>110</v>
      </c>
      <c r="C10" s="366">
        <f>SUM(C6:C9)</f>
        <v>1572</v>
      </c>
      <c r="D10" s="367">
        <f>SUM(D6:D9)</f>
        <v>436.66666666666663</v>
      </c>
      <c r="E10" s="328"/>
      <c r="F10" s="349" t="s">
        <v>497</v>
      </c>
      <c r="G10" s="350">
        <v>17500</v>
      </c>
      <c r="H10" s="351">
        <f>G10/3.6</f>
        <v>4861.1111111111113</v>
      </c>
      <c r="I10" s="328"/>
      <c r="J10" s="328"/>
      <c r="K10" s="328"/>
      <c r="L10" s="328"/>
      <c r="M10" s="328"/>
      <c r="N10" s="328"/>
      <c r="O10" s="328"/>
    </row>
    <row r="11" spans="1:23" ht="13.5" thickBot="1">
      <c r="B11" s="368" t="s">
        <v>267</v>
      </c>
      <c r="C11" s="369">
        <f>C10/12</f>
        <v>131</v>
      </c>
      <c r="D11" s="367">
        <f>D10/12</f>
        <v>36.388888888888886</v>
      </c>
      <c r="E11" s="328"/>
      <c r="F11" s="354" t="s">
        <v>498</v>
      </c>
      <c r="G11" s="355">
        <f>G10/H8</f>
        <v>3500</v>
      </c>
      <c r="H11" s="356">
        <f>G11/3.6</f>
        <v>972.22222222222217</v>
      </c>
      <c r="I11" s="328"/>
      <c r="J11" s="328"/>
      <c r="K11" s="328"/>
      <c r="L11" s="370" t="s">
        <v>499</v>
      </c>
      <c r="M11" s="328"/>
      <c r="N11" s="328"/>
      <c r="O11" s="328"/>
      <c r="P11" s="328"/>
    </row>
    <row r="12" spans="1:23" ht="13.5" thickBot="1">
      <c r="A12" s="325"/>
      <c r="B12" s="328"/>
      <c r="C12" s="328"/>
      <c r="D12" s="328"/>
      <c r="E12" s="328"/>
      <c r="F12" s="331" t="s">
        <v>500</v>
      </c>
      <c r="G12" s="332" t="s">
        <v>243</v>
      </c>
      <c r="H12" s="333">
        <v>5</v>
      </c>
      <c r="I12" s="328"/>
      <c r="J12" s="328"/>
      <c r="K12" s="328"/>
      <c r="L12" s="328"/>
      <c r="M12" s="328"/>
      <c r="N12" s="371" t="s">
        <v>240</v>
      </c>
      <c r="O12" s="372">
        <v>5</v>
      </c>
      <c r="P12" s="373" t="s">
        <v>241</v>
      </c>
    </row>
    <row r="13" spans="1:23" ht="13.5" thickBot="1">
      <c r="A13" s="325"/>
      <c r="B13" s="1254" t="s">
        <v>270</v>
      </c>
      <c r="C13" s="1259"/>
      <c r="D13" s="1255"/>
      <c r="E13" s="353"/>
      <c r="F13" s="340" t="s">
        <v>247</v>
      </c>
      <c r="G13" s="341" t="s">
        <v>248</v>
      </c>
      <c r="H13" s="342" t="s">
        <v>241</v>
      </c>
      <c r="K13" s="328"/>
      <c r="L13" s="374"/>
      <c r="M13" s="1254" t="s">
        <v>244</v>
      </c>
      <c r="N13" s="1255"/>
      <c r="O13" s="1254" t="s">
        <v>245</v>
      </c>
      <c r="P13" s="1255"/>
    </row>
    <row r="14" spans="1:23" ht="13.5" thickBot="1">
      <c r="A14" s="325"/>
      <c r="B14" s="375" t="s">
        <v>247</v>
      </c>
      <c r="C14" s="376" t="s">
        <v>248</v>
      </c>
      <c r="D14" s="377" t="s">
        <v>241</v>
      </c>
      <c r="E14" s="328"/>
      <c r="F14" s="354" t="s">
        <v>501</v>
      </c>
      <c r="G14" s="355">
        <v>2000</v>
      </c>
      <c r="H14" s="356">
        <f>G14/3.6</f>
        <v>555.55555555555554</v>
      </c>
      <c r="K14" s="328"/>
      <c r="L14" s="378" t="s">
        <v>247</v>
      </c>
      <c r="M14" s="379" t="s">
        <v>248</v>
      </c>
      <c r="N14" s="379" t="s">
        <v>241</v>
      </c>
      <c r="O14" s="379" t="s">
        <v>248</v>
      </c>
      <c r="P14" s="379" t="s">
        <v>241</v>
      </c>
      <c r="Q14" s="328"/>
      <c r="R14" s="328"/>
      <c r="S14" s="328"/>
      <c r="T14" s="328"/>
      <c r="U14" s="328"/>
    </row>
    <row r="15" spans="1:23">
      <c r="A15" s="325"/>
      <c r="B15" s="346" t="s">
        <v>264</v>
      </c>
      <c r="C15" s="347">
        <v>1102</v>
      </c>
      <c r="D15" s="348">
        <f>C15/3.6</f>
        <v>306.11111111111109</v>
      </c>
      <c r="E15" s="328"/>
      <c r="F15" s="328"/>
      <c r="G15" s="328"/>
      <c r="H15" s="380"/>
      <c r="K15" s="328"/>
      <c r="L15" s="349" t="s">
        <v>240</v>
      </c>
      <c r="M15" s="350">
        <v>25</v>
      </c>
      <c r="N15" s="358">
        <f>M15/3.6</f>
        <v>6.9444444444444446</v>
      </c>
      <c r="O15" s="350"/>
      <c r="P15" s="352"/>
      <c r="Q15" s="328"/>
      <c r="R15" s="328"/>
      <c r="S15" s="328"/>
      <c r="T15" s="328"/>
      <c r="U15" s="328"/>
    </row>
    <row r="16" spans="1:23" ht="13.5" thickBot="1">
      <c r="A16" s="325"/>
      <c r="B16" s="362" t="s">
        <v>261</v>
      </c>
      <c r="C16" s="363">
        <v>100</v>
      </c>
      <c r="D16" s="364">
        <f>C16/3.6</f>
        <v>27.777777777777779</v>
      </c>
      <c r="E16" s="328"/>
      <c r="K16" s="328"/>
      <c r="L16" s="381" t="s">
        <v>260</v>
      </c>
      <c r="M16" s="382">
        <f>M15*30</f>
        <v>750</v>
      </c>
      <c r="N16" s="360">
        <f>M16/3.6</f>
        <v>208.33333333333331</v>
      </c>
      <c r="O16" s="382"/>
      <c r="P16" s="361"/>
      <c r="Q16" s="328"/>
      <c r="R16" s="328"/>
      <c r="S16" s="328"/>
      <c r="T16" s="328"/>
      <c r="U16" s="328"/>
    </row>
    <row r="17" spans="1:21" ht="13.5" thickBot="1">
      <c r="A17" s="325"/>
      <c r="B17" s="365" t="s">
        <v>110</v>
      </c>
      <c r="C17" s="383">
        <f>SUM(C15:C16)</f>
        <v>1202</v>
      </c>
      <c r="D17" s="367">
        <f>SUM(D15:D16)</f>
        <v>333.88888888888886</v>
      </c>
      <c r="E17" s="328"/>
      <c r="F17" s="370" t="s">
        <v>234</v>
      </c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</row>
    <row r="18" spans="1:21" ht="15.75" customHeight="1" thickBot="1">
      <c r="A18" s="325"/>
      <c r="B18" s="368" t="s">
        <v>267</v>
      </c>
      <c r="C18" s="367">
        <f>C17/12</f>
        <v>100.16666666666667</v>
      </c>
      <c r="D18" s="367">
        <f>D17/12</f>
        <v>27.824074074074073</v>
      </c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</row>
    <row r="19" spans="1:21" ht="13.5" thickBot="1">
      <c r="A19" s="325"/>
      <c r="B19" s="328"/>
      <c r="C19" s="328"/>
      <c r="D19" s="328"/>
      <c r="E19" s="328"/>
      <c r="F19" s="374"/>
      <c r="G19" s="1254" t="s">
        <v>244</v>
      </c>
      <c r="H19" s="1255"/>
      <c r="I19" s="1254" t="s">
        <v>245</v>
      </c>
      <c r="J19" s="1255"/>
      <c r="K19" s="328"/>
      <c r="L19" s="1256" t="s">
        <v>502</v>
      </c>
      <c r="M19" s="1257"/>
      <c r="N19" s="1258"/>
      <c r="O19" s="328"/>
      <c r="P19" s="328"/>
      <c r="Q19" s="328"/>
      <c r="S19" s="328"/>
      <c r="T19" s="328"/>
      <c r="U19" s="328"/>
    </row>
    <row r="20" spans="1:21" ht="13.5" thickBot="1">
      <c r="A20" s="325"/>
      <c r="B20" s="1254" t="s">
        <v>271</v>
      </c>
      <c r="C20" s="1259"/>
      <c r="D20" s="1255"/>
      <c r="E20" s="328"/>
      <c r="F20" s="384" t="s">
        <v>247</v>
      </c>
      <c r="G20" s="379" t="s">
        <v>248</v>
      </c>
      <c r="H20" s="379" t="s">
        <v>241</v>
      </c>
      <c r="I20" s="379" t="s">
        <v>248</v>
      </c>
      <c r="J20" s="379" t="s">
        <v>241</v>
      </c>
      <c r="K20" s="328"/>
      <c r="L20" s="328"/>
      <c r="M20" s="328"/>
      <c r="N20" s="328"/>
      <c r="O20" s="328"/>
      <c r="P20" s="328"/>
      <c r="Q20" s="328"/>
      <c r="S20" s="328"/>
      <c r="T20" s="328"/>
      <c r="U20" s="328"/>
    </row>
    <row r="21" spans="1:21" ht="13.5" thickBot="1">
      <c r="A21" s="385"/>
      <c r="B21" s="375" t="s">
        <v>247</v>
      </c>
      <c r="C21" s="376" t="s">
        <v>248</v>
      </c>
      <c r="D21" s="377" t="s">
        <v>241</v>
      </c>
      <c r="E21" s="328"/>
      <c r="F21" s="349" t="s">
        <v>252</v>
      </c>
      <c r="G21" s="350">
        <v>5400</v>
      </c>
      <c r="H21" s="350">
        <f>G21/3.6</f>
        <v>1500</v>
      </c>
      <c r="I21" s="350">
        <v>800</v>
      </c>
      <c r="J21" s="352">
        <f>I21/3.6</f>
        <v>222.22222222222223</v>
      </c>
      <c r="K21" s="328"/>
      <c r="L21" s="374"/>
      <c r="M21" s="1254" t="s">
        <v>244</v>
      </c>
      <c r="N21" s="1255"/>
      <c r="O21" s="1254" t="s">
        <v>245</v>
      </c>
      <c r="P21" s="1255"/>
      <c r="Q21" s="368" t="s">
        <v>246</v>
      </c>
      <c r="S21" s="328"/>
      <c r="T21" s="328"/>
      <c r="U21" s="328"/>
    </row>
    <row r="22" spans="1:21" ht="13.5" thickBot="1">
      <c r="A22" s="325"/>
      <c r="B22" s="346" t="s">
        <v>272</v>
      </c>
      <c r="C22" s="386">
        <v>227</v>
      </c>
      <c r="D22" s="348">
        <f>C22/3.6</f>
        <v>63.055555555555557</v>
      </c>
      <c r="E22" s="328"/>
      <c r="F22" s="349" t="s">
        <v>257</v>
      </c>
      <c r="G22" s="350">
        <v>4320</v>
      </c>
      <c r="H22" s="350">
        <f>G22/3.6</f>
        <v>1200</v>
      </c>
      <c r="I22" s="350">
        <v>650</v>
      </c>
      <c r="J22" s="352">
        <f>I22/3.6</f>
        <v>180.55555555555554</v>
      </c>
      <c r="K22" s="328"/>
      <c r="L22" s="387" t="s">
        <v>247</v>
      </c>
      <c r="M22" s="379" t="s">
        <v>248</v>
      </c>
      <c r="N22" s="379" t="s">
        <v>241</v>
      </c>
      <c r="O22" s="379" t="s">
        <v>248</v>
      </c>
      <c r="P22" s="379" t="s">
        <v>241</v>
      </c>
      <c r="Q22" s="388" t="s">
        <v>249</v>
      </c>
      <c r="S22" s="328"/>
      <c r="T22" s="328"/>
      <c r="U22" s="328"/>
    </row>
    <row r="23" spans="1:21">
      <c r="A23" s="325"/>
      <c r="B23" s="349" t="s">
        <v>273</v>
      </c>
      <c r="C23" s="389">
        <v>378</v>
      </c>
      <c r="D23" s="348">
        <f>C23/3.6</f>
        <v>105</v>
      </c>
      <c r="E23" s="328"/>
      <c r="F23" s="349" t="s">
        <v>262</v>
      </c>
      <c r="G23" s="350">
        <v>8100</v>
      </c>
      <c r="H23" s="350">
        <f>G23/3.6</f>
        <v>2250</v>
      </c>
      <c r="I23" s="350">
        <v>1000</v>
      </c>
      <c r="J23" s="352">
        <f>I23/3.6</f>
        <v>277.77777777777777</v>
      </c>
      <c r="K23" s="328"/>
      <c r="L23" s="390" t="s">
        <v>252</v>
      </c>
      <c r="M23" s="391">
        <v>8182</v>
      </c>
      <c r="N23" s="391">
        <f>M23/3.6</f>
        <v>2272.7777777777778</v>
      </c>
      <c r="O23" s="391">
        <v>1572.6666666666667</v>
      </c>
      <c r="P23" s="391">
        <f>O23/3.6</f>
        <v>436.85185185185185</v>
      </c>
      <c r="Q23" s="352">
        <f>N23/P23</f>
        <v>5.2026282323018229</v>
      </c>
      <c r="S23" s="328"/>
      <c r="T23" s="328"/>
      <c r="U23" s="328"/>
    </row>
    <row r="24" spans="1:21" ht="13.5" thickBot="1">
      <c r="A24" s="325"/>
      <c r="B24" s="362" t="s">
        <v>261</v>
      </c>
      <c r="C24" s="392">
        <v>51</v>
      </c>
      <c r="D24" s="364">
        <f>C24/3.6</f>
        <v>14.166666666666666</v>
      </c>
      <c r="E24" s="328"/>
      <c r="F24" s="354" t="s">
        <v>265</v>
      </c>
      <c r="G24" s="355">
        <v>7200</v>
      </c>
      <c r="H24" s="355">
        <f>G24/3.6</f>
        <v>2000</v>
      </c>
      <c r="I24" s="355">
        <v>1200</v>
      </c>
      <c r="J24" s="361">
        <f>I24/3.6</f>
        <v>333.33333333333331</v>
      </c>
      <c r="K24" s="328"/>
      <c r="L24" s="390" t="s">
        <v>257</v>
      </c>
      <c r="M24" s="391">
        <v>7102</v>
      </c>
      <c r="N24" s="391">
        <f>M24/3.6</f>
        <v>1972.7777777777778</v>
      </c>
      <c r="O24" s="391">
        <v>1422.6666666666667</v>
      </c>
      <c r="P24" s="391">
        <f>O24/3.6</f>
        <v>395.18518518518522</v>
      </c>
      <c r="Q24" s="352">
        <f>N24/P24</f>
        <v>4.9920337394564198</v>
      </c>
      <c r="S24" s="328"/>
      <c r="T24" s="328"/>
      <c r="U24" s="328"/>
    </row>
    <row r="25" spans="1:21" ht="13.5" thickBot="1">
      <c r="A25" s="325"/>
      <c r="B25" s="365" t="s">
        <v>110</v>
      </c>
      <c r="C25" s="383">
        <f>SUM(C22:C24)</f>
        <v>656</v>
      </c>
      <c r="D25" s="367">
        <f>SUM(D22:D24)</f>
        <v>182.2222222222222</v>
      </c>
      <c r="E25" s="328"/>
      <c r="F25" s="328"/>
      <c r="G25" s="328"/>
      <c r="H25" s="328"/>
      <c r="I25" s="328"/>
      <c r="J25" s="328"/>
      <c r="K25" s="336"/>
      <c r="L25" s="390" t="s">
        <v>262</v>
      </c>
      <c r="M25" s="391">
        <v>10882</v>
      </c>
      <c r="N25" s="391">
        <f>M25/3.6</f>
        <v>3022.7777777777778</v>
      </c>
      <c r="O25" s="391">
        <v>1772.6666666666667</v>
      </c>
      <c r="P25" s="391">
        <f>O25/3.6</f>
        <v>492.40740740740739</v>
      </c>
      <c r="Q25" s="352">
        <f>N25/P25</f>
        <v>6.1387739751786388</v>
      </c>
      <c r="S25" s="328"/>
      <c r="T25" s="328"/>
      <c r="U25" s="328"/>
    </row>
    <row r="26" spans="1:21" ht="13.5" thickBot="1">
      <c r="B26" s="368" t="s">
        <v>267</v>
      </c>
      <c r="C26" s="367">
        <f>C25/12</f>
        <v>54.666666666666664</v>
      </c>
      <c r="D26" s="367">
        <f>D25/12</f>
        <v>15.185185185185183</v>
      </c>
      <c r="E26" s="328"/>
      <c r="F26" s="328"/>
      <c r="G26" s="328"/>
      <c r="H26" s="328"/>
      <c r="I26" s="328"/>
      <c r="J26" s="328"/>
      <c r="K26" s="345"/>
      <c r="L26" s="393" t="s">
        <v>265</v>
      </c>
      <c r="M26" s="394">
        <v>9982</v>
      </c>
      <c r="N26" s="394">
        <f>M26/3.6</f>
        <v>2772.7777777777778</v>
      </c>
      <c r="O26" s="394">
        <v>1972.6666666666667</v>
      </c>
      <c r="P26" s="394">
        <f>O26/3.6</f>
        <v>547.96296296296293</v>
      </c>
      <c r="Q26" s="361">
        <f>N26/P26</f>
        <v>5.0601554579249752</v>
      </c>
      <c r="S26" s="328"/>
      <c r="T26" s="328"/>
      <c r="U26" s="328"/>
    </row>
    <row r="27" spans="1:21" ht="13.5" thickBot="1">
      <c r="B27" s="328"/>
      <c r="C27" s="328"/>
      <c r="D27" s="328"/>
      <c r="E27" s="328"/>
      <c r="F27" s="395" t="s">
        <v>235</v>
      </c>
      <c r="G27" s="396"/>
      <c r="H27" s="396"/>
      <c r="I27" s="397"/>
      <c r="J27" s="328"/>
      <c r="K27" s="353"/>
      <c r="L27" s="328"/>
      <c r="M27" s="328"/>
      <c r="N27" s="328"/>
      <c r="O27" s="328"/>
      <c r="P27" s="328"/>
      <c r="Q27" s="328"/>
      <c r="R27" s="328"/>
      <c r="S27" s="328"/>
      <c r="T27" s="328"/>
      <c r="U27" s="328"/>
    </row>
    <row r="28" spans="1:21" ht="13.5" thickBot="1">
      <c r="B28" s="328"/>
      <c r="C28" s="328"/>
      <c r="D28" s="328"/>
      <c r="E28" s="328"/>
      <c r="F28" s="328"/>
      <c r="G28" s="328"/>
      <c r="H28" s="328"/>
      <c r="I28" s="328"/>
      <c r="J28" s="328"/>
      <c r="K28" s="353"/>
      <c r="L28" s="328"/>
      <c r="M28" s="328"/>
      <c r="N28" s="328"/>
      <c r="O28" s="328"/>
      <c r="P28" s="328"/>
      <c r="Q28" s="328"/>
      <c r="R28" s="328"/>
      <c r="S28" s="328"/>
      <c r="T28" s="328"/>
      <c r="U28" s="328"/>
    </row>
    <row r="29" spans="1:21" ht="13.5" thickBot="1">
      <c r="B29" s="328"/>
      <c r="C29" s="328"/>
      <c r="D29" s="328"/>
      <c r="E29" s="328"/>
      <c r="F29" s="374"/>
      <c r="G29" s="1254" t="s">
        <v>244</v>
      </c>
      <c r="H29" s="1255"/>
      <c r="I29" s="1254" t="s">
        <v>245</v>
      </c>
      <c r="J29" s="1255"/>
      <c r="K29" s="353"/>
      <c r="L29" s="328"/>
      <c r="M29" s="328"/>
      <c r="N29" s="328"/>
      <c r="O29" s="328"/>
      <c r="P29" s="328"/>
      <c r="Q29" s="328"/>
      <c r="R29" s="328"/>
      <c r="S29" s="328"/>
      <c r="T29" s="328"/>
      <c r="U29" s="328"/>
    </row>
    <row r="30" spans="1:21" ht="13.5" thickBot="1">
      <c r="B30" s="328"/>
      <c r="C30" s="328"/>
      <c r="D30" s="328"/>
      <c r="E30" s="328"/>
      <c r="F30" s="384" t="s">
        <v>247</v>
      </c>
      <c r="G30" s="379" t="s">
        <v>248</v>
      </c>
      <c r="H30" s="379" t="s">
        <v>241</v>
      </c>
      <c r="I30" s="379" t="s">
        <v>248</v>
      </c>
      <c r="J30" s="379" t="s">
        <v>241</v>
      </c>
      <c r="K30" s="353"/>
      <c r="L30" s="328"/>
      <c r="M30" s="328"/>
      <c r="N30" s="328"/>
      <c r="O30" s="328"/>
      <c r="P30" s="328"/>
      <c r="Q30" s="328"/>
      <c r="R30" s="328"/>
      <c r="S30" s="328"/>
      <c r="T30" s="328"/>
      <c r="U30" s="328"/>
    </row>
    <row r="31" spans="1:21">
      <c r="B31" s="328"/>
      <c r="C31" s="328"/>
      <c r="D31" s="328"/>
      <c r="E31" s="328"/>
      <c r="F31" s="349" t="s">
        <v>253</v>
      </c>
      <c r="G31" s="350">
        <v>838</v>
      </c>
      <c r="H31" s="398">
        <f>G31/3.6</f>
        <v>232.77777777777777</v>
      </c>
      <c r="I31" s="350"/>
      <c r="J31" s="352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</row>
    <row r="32" spans="1:21" ht="15.75" customHeight="1">
      <c r="B32" s="328"/>
      <c r="C32" s="328"/>
      <c r="D32" s="328"/>
      <c r="E32" s="328"/>
      <c r="F32" s="349" t="s">
        <v>258</v>
      </c>
      <c r="G32" s="350">
        <f>G37</f>
        <v>225</v>
      </c>
      <c r="H32" s="398">
        <f>G32/3.6</f>
        <v>62.5</v>
      </c>
      <c r="I32" s="350">
        <f>G37</f>
        <v>225</v>
      </c>
      <c r="J32" s="352">
        <f>I32/3.6</f>
        <v>62.5</v>
      </c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</row>
    <row r="33" spans="6:11">
      <c r="F33" s="353"/>
      <c r="G33" s="353"/>
      <c r="H33" s="353"/>
      <c r="I33" s="353"/>
      <c r="J33" s="353"/>
      <c r="K33" s="328"/>
    </row>
    <row r="34" spans="6:11">
      <c r="F34" s="353" t="s">
        <v>266</v>
      </c>
      <c r="G34" s="353"/>
      <c r="H34" s="353"/>
      <c r="I34" s="353"/>
      <c r="J34" s="353"/>
      <c r="K34" s="328"/>
    </row>
    <row r="35" spans="6:11" ht="13.5" thickBot="1">
      <c r="F35" s="328"/>
      <c r="G35" s="328"/>
      <c r="H35" s="328"/>
      <c r="I35" s="328"/>
      <c r="J35" s="328"/>
    </row>
    <row r="36" spans="6:11">
      <c r="F36" s="374" t="s">
        <v>268</v>
      </c>
      <c r="G36" s="399">
        <f>500*30*12*0.015</f>
        <v>2700</v>
      </c>
      <c r="H36" s="328"/>
      <c r="I36" s="328"/>
      <c r="J36" s="328"/>
    </row>
    <row r="37" spans="6:11" ht="13.5" thickBot="1">
      <c r="F37" s="354" t="s">
        <v>269</v>
      </c>
      <c r="G37" s="400">
        <f>G36/12</f>
        <v>225</v>
      </c>
      <c r="H37" s="328"/>
      <c r="I37" s="328"/>
      <c r="J37" s="328"/>
    </row>
    <row r="43" spans="6:11" ht="15.75" customHeight="1"/>
    <row r="61" ht="15.75" customHeight="1"/>
    <row r="69" ht="15.75" customHeight="1"/>
    <row r="72" ht="15.75" customHeight="1"/>
    <row r="76" ht="15.75" customHeight="1"/>
    <row r="87" ht="15.75" customHeight="1"/>
    <row r="94" ht="15.75" customHeight="1"/>
    <row r="118" ht="15.7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9" ht="15.75" customHeight="1"/>
    <row r="175" ht="15.75" customHeight="1"/>
    <row r="180" ht="23.25" customHeight="1"/>
    <row r="182" ht="15.75" customHeight="1"/>
    <row r="191" ht="15.75" customHeight="1"/>
    <row r="202" s="401" customFormat="1"/>
  </sheetData>
  <mergeCells count="13">
    <mergeCell ref="B20:D20"/>
    <mergeCell ref="B4:D4"/>
    <mergeCell ref="O4:P4"/>
    <mergeCell ref="B13:D13"/>
    <mergeCell ref="M13:N13"/>
    <mergeCell ref="O13:P13"/>
    <mergeCell ref="M21:N21"/>
    <mergeCell ref="O21:P21"/>
    <mergeCell ref="G29:H29"/>
    <mergeCell ref="I29:J29"/>
    <mergeCell ref="G19:H19"/>
    <mergeCell ref="I19:J19"/>
    <mergeCell ref="L19:N19"/>
  </mergeCells>
  <pageMargins left="0.7" right="0.7" top="0.75" bottom="0.75" header="0.3" footer="0.3"/>
  <pageSetup paperSize="9" scale="5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9"/>
  <sheetViews>
    <sheetView topLeftCell="A19" zoomScaleNormal="80" workbookViewId="0">
      <selection activeCell="O14" sqref="O14"/>
    </sheetView>
  </sheetViews>
  <sheetFormatPr defaultColWidth="9.140625" defaultRowHeight="12.75"/>
  <cols>
    <col min="1" max="1" width="33.140625" style="402" customWidth="1"/>
    <col min="2" max="2" width="11.7109375" style="402" customWidth="1"/>
    <col min="3" max="3" width="17.28515625" style="402" customWidth="1"/>
    <col min="4" max="7" width="9.140625" style="402"/>
    <col min="8" max="8" width="10.7109375" style="402" bestFit="1" customWidth="1"/>
    <col min="9" max="9" width="3.7109375" style="403" customWidth="1"/>
    <col min="10" max="10" width="2.5703125" style="403" customWidth="1"/>
    <col min="11" max="11" width="3.7109375" style="403" customWidth="1"/>
    <col min="12" max="12" width="33.7109375" style="402" customWidth="1"/>
    <col min="13" max="13" width="11.7109375" style="402" customWidth="1"/>
    <col min="14" max="14" width="14.5703125" style="402" customWidth="1"/>
    <col min="15" max="19" width="11.7109375" style="402" customWidth="1"/>
    <col min="20" max="22" width="9.140625" style="402"/>
    <col min="23" max="23" width="13" style="402" customWidth="1"/>
    <col min="24" max="24" width="34.7109375" style="402" customWidth="1"/>
    <col min="25" max="27" width="15.7109375" style="402" customWidth="1"/>
    <col min="28" max="16384" width="9.140625" style="402"/>
  </cols>
  <sheetData>
    <row r="1" spans="1:27" ht="15.75" customHeight="1">
      <c r="J1" s="404"/>
      <c r="K1" s="405"/>
    </row>
    <row r="2" spans="1:27" ht="13.5" thickBot="1">
      <c r="J2" s="404"/>
      <c r="K2" s="405"/>
    </row>
    <row r="3" spans="1:27" ht="20.100000000000001" customHeight="1" thickBot="1">
      <c r="A3" s="1264" t="s">
        <v>503</v>
      </c>
      <c r="B3" s="1265"/>
      <c r="C3" s="1265"/>
      <c r="D3" s="1265"/>
      <c r="E3" s="1265"/>
      <c r="F3" s="1265"/>
      <c r="G3" s="1265"/>
      <c r="H3" s="1266"/>
      <c r="I3" s="406"/>
      <c r="J3" s="407"/>
      <c r="K3" s="408"/>
      <c r="L3" s="1280" t="s">
        <v>503</v>
      </c>
      <c r="M3" s="1281"/>
      <c r="N3" s="1281"/>
      <c r="O3" s="1281"/>
      <c r="P3" s="1281"/>
      <c r="Q3" s="1281"/>
      <c r="R3" s="1281"/>
      <c r="S3" s="1282"/>
      <c r="X3" s="1283" t="s">
        <v>132</v>
      </c>
      <c r="Y3" s="1284"/>
      <c r="Z3" s="1284"/>
      <c r="AA3" s="1285"/>
    </row>
    <row r="4" spans="1:27" ht="20.100000000000001" customHeight="1" thickBot="1">
      <c r="A4" s="1270" t="s">
        <v>504</v>
      </c>
      <c r="B4" s="409" t="s">
        <v>505</v>
      </c>
      <c r="C4" s="409" t="s">
        <v>506</v>
      </c>
      <c r="D4" s="409" t="s">
        <v>281</v>
      </c>
      <c r="E4" s="409" t="s">
        <v>507</v>
      </c>
      <c r="F4" s="409" t="s">
        <v>508</v>
      </c>
      <c r="G4" s="409" t="s">
        <v>509</v>
      </c>
      <c r="H4" s="410" t="s">
        <v>298</v>
      </c>
      <c r="I4" s="406"/>
      <c r="J4" s="407"/>
      <c r="K4" s="408"/>
      <c r="L4" s="1272" t="s">
        <v>510</v>
      </c>
      <c r="M4" s="409" t="s">
        <v>505</v>
      </c>
      <c r="N4" s="409" t="s">
        <v>506</v>
      </c>
      <c r="O4" s="409" t="s">
        <v>281</v>
      </c>
      <c r="P4" s="409" t="s">
        <v>507</v>
      </c>
      <c r="Q4" s="409" t="s">
        <v>508</v>
      </c>
      <c r="R4" s="409" t="s">
        <v>509</v>
      </c>
      <c r="S4" s="411" t="s">
        <v>298</v>
      </c>
      <c r="X4" s="412" t="s">
        <v>134</v>
      </c>
      <c r="Y4" s="413" t="s">
        <v>135</v>
      </c>
      <c r="Z4" s="413" t="s">
        <v>510</v>
      </c>
      <c r="AA4" s="414" t="s">
        <v>110</v>
      </c>
    </row>
    <row r="5" spans="1:27" ht="20.100000000000001" customHeight="1" thickBot="1">
      <c r="A5" s="1276"/>
      <c r="B5" s="415" t="s">
        <v>102</v>
      </c>
      <c r="C5" s="415" t="s">
        <v>511</v>
      </c>
      <c r="D5" s="415" t="s">
        <v>102</v>
      </c>
      <c r="E5" s="415" t="s">
        <v>102</v>
      </c>
      <c r="F5" s="415" t="s">
        <v>102</v>
      </c>
      <c r="G5" s="415" t="s">
        <v>102</v>
      </c>
      <c r="H5" s="416" t="s">
        <v>102</v>
      </c>
      <c r="I5" s="406"/>
      <c r="J5" s="407"/>
      <c r="K5" s="408"/>
      <c r="L5" s="1273"/>
      <c r="M5" s="415" t="s">
        <v>102</v>
      </c>
      <c r="N5" s="415" t="s">
        <v>511</v>
      </c>
      <c r="O5" s="415" t="s">
        <v>102</v>
      </c>
      <c r="P5" s="415" t="s">
        <v>102</v>
      </c>
      <c r="Q5" s="415" t="s">
        <v>102</v>
      </c>
      <c r="R5" s="415" t="s">
        <v>102</v>
      </c>
      <c r="S5" s="417" t="s">
        <v>102</v>
      </c>
      <c r="W5" s="1261" t="s">
        <v>137</v>
      </c>
      <c r="X5" s="418" t="s">
        <v>138</v>
      </c>
      <c r="Y5" s="419">
        <v>1</v>
      </c>
      <c r="Z5" s="419"/>
      <c r="AA5" s="420">
        <f t="shared" ref="AA5:AA19" si="0">Y5+Z5</f>
        <v>1</v>
      </c>
    </row>
    <row r="6" spans="1:27" ht="20.100000000000001" customHeight="1">
      <c r="A6" s="421" t="s">
        <v>138</v>
      </c>
      <c r="B6" s="422">
        <v>8000</v>
      </c>
      <c r="C6" s="423">
        <v>2500</v>
      </c>
      <c r="D6" s="422">
        <f>'[17]ASSISTING ANALYSES'!$N$16</f>
        <v>208.33333333333331</v>
      </c>
      <c r="E6" s="422">
        <f>'[17]ASSISTING ANALYSES'!$H$31</f>
        <v>232.77777777777777</v>
      </c>
      <c r="F6" s="422">
        <f>'[17]ASSISTING ANALYSES'!$N$8</f>
        <v>101.85185185185185</v>
      </c>
      <c r="G6" s="422">
        <f>'[17]ASSISTING ANALYSES'!$D$26</f>
        <v>15.185185185185183</v>
      </c>
      <c r="H6" s="424">
        <f t="shared" ref="H6:H19" si="1">SUM(B6:G6)</f>
        <v>11058.148148148148</v>
      </c>
      <c r="I6" s="406"/>
      <c r="J6" s="407"/>
      <c r="K6" s="408"/>
      <c r="L6" s="425" t="s">
        <v>138</v>
      </c>
      <c r="M6" s="426"/>
      <c r="N6" s="426"/>
      <c r="O6" s="426"/>
      <c r="P6" s="426"/>
      <c r="Q6" s="426"/>
      <c r="R6" s="426"/>
      <c r="S6" s="427"/>
      <c r="W6" s="1262"/>
      <c r="X6" s="418" t="s">
        <v>139</v>
      </c>
      <c r="Y6" s="419">
        <v>1</v>
      </c>
      <c r="Z6" s="419"/>
      <c r="AA6" s="419">
        <f t="shared" si="0"/>
        <v>1</v>
      </c>
    </row>
    <row r="7" spans="1:27" ht="20.100000000000001" customHeight="1">
      <c r="A7" s="428" t="s">
        <v>139</v>
      </c>
      <c r="B7" s="429">
        <v>6000</v>
      </c>
      <c r="C7" s="430">
        <v>2500</v>
      </c>
      <c r="D7" s="429">
        <f>'[17]ASSISTING ANALYSES'!$N$16</f>
        <v>208.33333333333331</v>
      </c>
      <c r="E7" s="429">
        <f>'[17]ASSISTING ANALYSES'!$H$31</f>
        <v>232.77777777777777</v>
      </c>
      <c r="F7" s="429">
        <f>'[17]ASSISTING ANALYSES'!$N$8</f>
        <v>101.85185185185185</v>
      </c>
      <c r="G7" s="429">
        <f>'[17]ASSISTING ANALYSES'!$D$26</f>
        <v>15.185185185185183</v>
      </c>
      <c r="H7" s="431">
        <f t="shared" si="1"/>
        <v>9058.1481481481478</v>
      </c>
      <c r="I7" s="406"/>
      <c r="J7" s="407"/>
      <c r="K7" s="408"/>
      <c r="L7" s="432" t="s">
        <v>139</v>
      </c>
      <c r="M7" s="430">
        <v>4000</v>
      </c>
      <c r="N7" s="430">
        <f>'[17]ASSISTING ANALYSES'!$H$14</f>
        <v>555.55555555555554</v>
      </c>
      <c r="O7" s="430" t="s">
        <v>109</v>
      </c>
      <c r="P7" s="430">
        <f>'[17]ASSISTING ANALYSES'!$H$32</f>
        <v>62.5</v>
      </c>
      <c r="Q7" s="430" t="s">
        <v>109</v>
      </c>
      <c r="R7" s="430">
        <f>'[17]ASSISTING ANALYSES'!$D$11</f>
        <v>36.388888888888886</v>
      </c>
      <c r="S7" s="433">
        <f>SUM(M7:R7)</f>
        <v>4654.4444444444443</v>
      </c>
      <c r="W7" s="1262"/>
      <c r="X7" s="418" t="s">
        <v>141</v>
      </c>
      <c r="Y7" s="419"/>
      <c r="Z7" s="419"/>
      <c r="AA7" s="419">
        <f t="shared" si="0"/>
        <v>0</v>
      </c>
    </row>
    <row r="8" spans="1:27" ht="20.100000000000001" customHeight="1">
      <c r="A8" s="428" t="s">
        <v>141</v>
      </c>
      <c r="B8" s="429">
        <v>6000</v>
      </c>
      <c r="C8" s="430">
        <f>'[17]ASSISTING ANALYSES'!$H$11</f>
        <v>972.22222222222217</v>
      </c>
      <c r="D8" s="429">
        <f>'[17]ASSISTING ANALYSES'!$N$16</f>
        <v>208.33333333333331</v>
      </c>
      <c r="E8" s="429">
        <f>'[17]ASSISTING ANALYSES'!$H$31</f>
        <v>232.77777777777777</v>
      </c>
      <c r="F8" s="429">
        <f>'[17]ASSISTING ANALYSES'!$N$8</f>
        <v>101.85185185185185</v>
      </c>
      <c r="G8" s="429">
        <f>'[17]ASSISTING ANALYSES'!$D$26</f>
        <v>15.185185185185183</v>
      </c>
      <c r="H8" s="431">
        <f t="shared" si="1"/>
        <v>7530.3703703703704</v>
      </c>
      <c r="I8" s="406"/>
      <c r="J8" s="407"/>
      <c r="K8" s="408"/>
      <c r="L8" s="432" t="s">
        <v>141</v>
      </c>
      <c r="M8" s="430"/>
      <c r="N8" s="430"/>
      <c r="O8" s="430"/>
      <c r="P8" s="430"/>
      <c r="Q8" s="430"/>
      <c r="R8" s="430"/>
      <c r="S8" s="433"/>
      <c r="W8" s="1262"/>
      <c r="X8" s="418" t="s">
        <v>512</v>
      </c>
      <c r="Y8" s="419">
        <v>1</v>
      </c>
      <c r="Z8" s="419">
        <v>1</v>
      </c>
      <c r="AA8" s="419">
        <f t="shared" si="0"/>
        <v>2</v>
      </c>
    </row>
    <row r="9" spans="1:27" ht="20.100000000000001" customHeight="1">
      <c r="A9" s="428" t="s">
        <v>513</v>
      </c>
      <c r="B9" s="429">
        <v>4000</v>
      </c>
      <c r="C9" s="430">
        <f>'[17]ASSISTING ANALYSES'!$H$11</f>
        <v>972.22222222222217</v>
      </c>
      <c r="D9" s="429">
        <f>'[17]ASSISTING ANALYSES'!$N$16</f>
        <v>208.33333333333331</v>
      </c>
      <c r="E9" s="429">
        <f>'[17]ASSISTING ANALYSES'!$H$31</f>
        <v>232.77777777777777</v>
      </c>
      <c r="F9" s="429">
        <f>'[17]ASSISTING ANALYSES'!$N$8</f>
        <v>101.85185185185185</v>
      </c>
      <c r="G9" s="429">
        <f>'[17]ASSISTING ANALYSES'!$D$26</f>
        <v>15.185185185185183</v>
      </c>
      <c r="H9" s="431">
        <f t="shared" si="1"/>
        <v>5530.3703703703704</v>
      </c>
      <c r="I9" s="406"/>
      <c r="J9" s="407"/>
      <c r="K9" s="408"/>
      <c r="L9" s="432" t="s">
        <v>512</v>
      </c>
      <c r="M9" s="430">
        <v>1500</v>
      </c>
      <c r="N9" s="430">
        <f>'[17]ASSISTING ANALYSES'!$H$14</f>
        <v>555.55555555555554</v>
      </c>
      <c r="O9" s="430" t="s">
        <v>109</v>
      </c>
      <c r="P9" s="430">
        <f>'[17]ASSISTING ANALYSES'!$H$32</f>
        <v>62.5</v>
      </c>
      <c r="Q9" s="430" t="s">
        <v>109</v>
      </c>
      <c r="R9" s="430">
        <f>'[17]ASSISTING ANALYSES'!$D$11</f>
        <v>36.388888888888886</v>
      </c>
      <c r="S9" s="433">
        <f>SUM(M9:R9)</f>
        <v>2154.4444444444443</v>
      </c>
      <c r="W9" s="1262"/>
      <c r="X9" s="418" t="s">
        <v>514</v>
      </c>
      <c r="Y9" s="419">
        <v>1</v>
      </c>
      <c r="Z9" s="419"/>
      <c r="AA9" s="419">
        <f t="shared" si="0"/>
        <v>1</v>
      </c>
    </row>
    <row r="10" spans="1:27" ht="20.100000000000001" customHeight="1">
      <c r="A10" s="428" t="s">
        <v>515</v>
      </c>
      <c r="B10" s="429">
        <v>3500</v>
      </c>
      <c r="C10" s="430">
        <f>'[17]ASSISTING ANALYSES'!$H$11</f>
        <v>972.22222222222217</v>
      </c>
      <c r="D10" s="429">
        <f>'[17]ASSISTING ANALYSES'!$N$16</f>
        <v>208.33333333333331</v>
      </c>
      <c r="E10" s="429">
        <f>'[17]ASSISTING ANALYSES'!$H$31</f>
        <v>232.77777777777777</v>
      </c>
      <c r="F10" s="429">
        <f>'[17]ASSISTING ANALYSES'!$N$8</f>
        <v>101.85185185185185</v>
      </c>
      <c r="G10" s="429">
        <f>'[17]ASSISTING ANALYSES'!$D$26</f>
        <v>15.185185185185183</v>
      </c>
      <c r="H10" s="431">
        <f t="shared" si="1"/>
        <v>5030.3703703703704</v>
      </c>
      <c r="I10" s="406"/>
      <c r="J10" s="407"/>
      <c r="K10" s="408"/>
      <c r="L10" s="432" t="s">
        <v>143</v>
      </c>
      <c r="M10" s="430"/>
      <c r="N10" s="430"/>
      <c r="O10" s="430"/>
      <c r="P10" s="430"/>
      <c r="Q10" s="430"/>
      <c r="R10" s="430"/>
      <c r="S10" s="433"/>
      <c r="W10" s="1262"/>
      <c r="X10" s="418" t="s">
        <v>516</v>
      </c>
      <c r="Y10" s="419"/>
      <c r="Z10" s="419"/>
      <c r="AA10" s="419">
        <f t="shared" si="0"/>
        <v>0</v>
      </c>
    </row>
    <row r="11" spans="1:27" ht="20.100000000000001" customHeight="1">
      <c r="A11" s="428" t="s">
        <v>517</v>
      </c>
      <c r="B11" s="429">
        <v>4000</v>
      </c>
      <c r="C11" s="430">
        <f>'[17]ASSISTING ANALYSES'!$H$11</f>
        <v>972.22222222222217</v>
      </c>
      <c r="D11" s="429">
        <f>'[17]ASSISTING ANALYSES'!$N$16</f>
        <v>208.33333333333331</v>
      </c>
      <c r="E11" s="429">
        <f>'[17]ASSISTING ANALYSES'!$H$31</f>
        <v>232.77777777777777</v>
      </c>
      <c r="F11" s="429">
        <f>'[17]ASSISTING ANALYSES'!$N$8</f>
        <v>101.85185185185185</v>
      </c>
      <c r="G11" s="429">
        <f>'[17]ASSISTING ANALYSES'!$D$26</f>
        <v>15.185185185185183</v>
      </c>
      <c r="H11" s="431">
        <f t="shared" si="1"/>
        <v>5530.3703703703704</v>
      </c>
      <c r="I11" s="406"/>
      <c r="J11" s="407"/>
      <c r="K11" s="408"/>
      <c r="L11" s="432" t="s">
        <v>517</v>
      </c>
      <c r="M11" s="430"/>
      <c r="N11" s="430"/>
      <c r="O11" s="430"/>
      <c r="P11" s="430"/>
      <c r="Q11" s="430"/>
      <c r="R11" s="430"/>
      <c r="S11" s="433">
        <f>SUM(M11:R11)</f>
        <v>0</v>
      </c>
      <c r="W11" s="1262"/>
      <c r="X11" s="418" t="s">
        <v>144</v>
      </c>
      <c r="Y11" s="419"/>
      <c r="Z11" s="419"/>
      <c r="AA11" s="419">
        <f t="shared" si="0"/>
        <v>0</v>
      </c>
    </row>
    <row r="12" spans="1:27" ht="20.100000000000001" customHeight="1">
      <c r="A12" s="428" t="s">
        <v>144</v>
      </c>
      <c r="B12" s="429">
        <v>3500</v>
      </c>
      <c r="C12" s="430">
        <f>'[17]ASSISTING ANALYSES'!$H$11</f>
        <v>972.22222222222217</v>
      </c>
      <c r="D12" s="429">
        <f>'[17]ASSISTING ANALYSES'!$N$16</f>
        <v>208.33333333333331</v>
      </c>
      <c r="E12" s="429">
        <f>'[17]ASSISTING ANALYSES'!$H$31</f>
        <v>232.77777777777777</v>
      </c>
      <c r="F12" s="429">
        <f>'[17]ASSISTING ANALYSES'!$N$8</f>
        <v>101.85185185185185</v>
      </c>
      <c r="G12" s="429">
        <f>'[17]ASSISTING ANALYSES'!$D$26</f>
        <v>15.185185185185183</v>
      </c>
      <c r="H12" s="431">
        <f t="shared" si="1"/>
        <v>5030.3703703703704</v>
      </c>
      <c r="I12" s="406"/>
      <c r="J12" s="407"/>
      <c r="K12" s="408"/>
      <c r="L12" s="432" t="s">
        <v>144</v>
      </c>
      <c r="M12" s="430"/>
      <c r="N12" s="430"/>
      <c r="O12" s="430"/>
      <c r="P12" s="430"/>
      <c r="Q12" s="430"/>
      <c r="R12" s="430"/>
      <c r="S12" s="433"/>
      <c r="W12" s="1262"/>
      <c r="X12" s="418" t="s">
        <v>145</v>
      </c>
      <c r="Y12" s="419"/>
      <c r="Z12" s="419"/>
      <c r="AA12" s="419">
        <f t="shared" si="0"/>
        <v>0</v>
      </c>
    </row>
    <row r="13" spans="1:27" ht="20.100000000000001" customHeight="1">
      <c r="A13" s="428" t="s">
        <v>145</v>
      </c>
      <c r="B13" s="429">
        <v>3500</v>
      </c>
      <c r="C13" s="430">
        <f>'[17]ASSISTING ANALYSES'!$H$11</f>
        <v>972.22222222222217</v>
      </c>
      <c r="D13" s="429">
        <f>'[17]ASSISTING ANALYSES'!$N$16</f>
        <v>208.33333333333331</v>
      </c>
      <c r="E13" s="429">
        <f>'[17]ASSISTING ANALYSES'!$H$31</f>
        <v>232.77777777777777</v>
      </c>
      <c r="F13" s="429">
        <f>'[17]ASSISTING ANALYSES'!$N$8</f>
        <v>101.85185185185185</v>
      </c>
      <c r="G13" s="429">
        <f>'[17]ASSISTING ANALYSES'!$D$26</f>
        <v>15.185185185185183</v>
      </c>
      <c r="H13" s="431">
        <f t="shared" si="1"/>
        <v>5030.3703703703704</v>
      </c>
      <c r="I13" s="406"/>
      <c r="J13" s="407"/>
      <c r="K13" s="408"/>
      <c r="L13" s="432" t="s">
        <v>145</v>
      </c>
      <c r="M13" s="430"/>
      <c r="N13" s="430"/>
      <c r="O13" s="430"/>
      <c r="P13" s="430"/>
      <c r="Q13" s="430"/>
      <c r="R13" s="430"/>
      <c r="S13" s="433"/>
      <c r="W13" s="1262"/>
      <c r="X13" s="418" t="s">
        <v>146</v>
      </c>
      <c r="Y13" s="419"/>
      <c r="Z13" s="419">
        <v>1</v>
      </c>
      <c r="AA13" s="419">
        <f t="shared" si="0"/>
        <v>1</v>
      </c>
    </row>
    <row r="14" spans="1:27" ht="20.100000000000001" customHeight="1">
      <c r="A14" s="428" t="s">
        <v>146</v>
      </c>
      <c r="B14" s="429">
        <v>3500</v>
      </c>
      <c r="C14" s="430">
        <f>'[17]ASSISTING ANALYSES'!$H$11</f>
        <v>972.22222222222217</v>
      </c>
      <c r="D14" s="429">
        <f>'[17]ASSISTING ANALYSES'!$N$16</f>
        <v>208.33333333333331</v>
      </c>
      <c r="E14" s="429">
        <f>'[17]ASSISTING ANALYSES'!$H$31</f>
        <v>232.77777777777777</v>
      </c>
      <c r="F14" s="429">
        <f>'[17]ASSISTING ANALYSES'!$N$8</f>
        <v>101.85185185185185</v>
      </c>
      <c r="G14" s="429">
        <f>'[17]ASSISTING ANALYSES'!$D$26</f>
        <v>15.185185185185183</v>
      </c>
      <c r="H14" s="431">
        <f t="shared" si="1"/>
        <v>5030.3703703703704</v>
      </c>
      <c r="I14" s="406"/>
      <c r="J14" s="407"/>
      <c r="K14" s="408"/>
      <c r="L14" s="432" t="s">
        <v>146</v>
      </c>
      <c r="M14" s="430">
        <v>1500</v>
      </c>
      <c r="N14" s="430">
        <f>'[17]ASSISTING ANALYSES'!$H$14</f>
        <v>555.55555555555554</v>
      </c>
      <c r="O14" s="430" t="s">
        <v>109</v>
      </c>
      <c r="P14" s="430">
        <f>'[17]ASSISTING ANALYSES'!$H$32</f>
        <v>62.5</v>
      </c>
      <c r="Q14" s="430" t="s">
        <v>109</v>
      </c>
      <c r="R14" s="430">
        <f>'[17]ASSISTING ANALYSES'!$D$11</f>
        <v>36.388888888888886</v>
      </c>
      <c r="S14" s="433">
        <f>SUM(M14:R14)</f>
        <v>2154.4444444444443</v>
      </c>
      <c r="W14" s="1262"/>
      <c r="X14" s="434" t="s">
        <v>147</v>
      </c>
      <c r="Y14" s="419"/>
      <c r="Z14" s="419"/>
      <c r="AA14" s="419">
        <f t="shared" si="0"/>
        <v>0</v>
      </c>
    </row>
    <row r="15" spans="1:27" ht="20.100000000000001" customHeight="1">
      <c r="A15" s="428" t="s">
        <v>147</v>
      </c>
      <c r="B15" s="429">
        <v>4000</v>
      </c>
      <c r="C15" s="430">
        <f>'[17]ASSISTING ANALYSES'!$H$11</f>
        <v>972.22222222222217</v>
      </c>
      <c r="D15" s="429">
        <f>'[17]ASSISTING ANALYSES'!$N$16</f>
        <v>208.33333333333331</v>
      </c>
      <c r="E15" s="429">
        <f>'[17]ASSISTING ANALYSES'!$H$31</f>
        <v>232.77777777777777</v>
      </c>
      <c r="F15" s="429">
        <f>'[17]ASSISTING ANALYSES'!$N$8</f>
        <v>101.85185185185185</v>
      </c>
      <c r="G15" s="429">
        <f>'[17]ASSISTING ANALYSES'!$D$26</f>
        <v>15.185185185185183</v>
      </c>
      <c r="H15" s="431">
        <f t="shared" si="1"/>
        <v>5530.3703703703704</v>
      </c>
      <c r="I15" s="406"/>
      <c r="J15" s="407"/>
      <c r="K15" s="408"/>
      <c r="L15" s="432" t="s">
        <v>147</v>
      </c>
      <c r="M15" s="430"/>
      <c r="N15" s="430"/>
      <c r="O15" s="430"/>
      <c r="P15" s="430"/>
      <c r="Q15" s="430"/>
      <c r="R15" s="430"/>
      <c r="S15" s="433"/>
      <c r="W15" s="1262"/>
      <c r="X15" s="434" t="s">
        <v>148</v>
      </c>
      <c r="Y15" s="419">
        <v>1</v>
      </c>
      <c r="Z15" s="419"/>
      <c r="AA15" s="419">
        <f t="shared" si="0"/>
        <v>1</v>
      </c>
    </row>
    <row r="16" spans="1:27" ht="20.100000000000001" customHeight="1">
      <c r="A16" s="428" t="s">
        <v>148</v>
      </c>
      <c r="B16" s="429">
        <v>3500</v>
      </c>
      <c r="C16" s="430">
        <f>'[17]ASSISTING ANALYSES'!$H$11</f>
        <v>972.22222222222217</v>
      </c>
      <c r="D16" s="429">
        <f>'[17]ASSISTING ANALYSES'!$N$16</f>
        <v>208.33333333333331</v>
      </c>
      <c r="E16" s="429">
        <f>'[17]ASSISTING ANALYSES'!$H$31</f>
        <v>232.77777777777777</v>
      </c>
      <c r="F16" s="429">
        <f>'[17]ASSISTING ANALYSES'!$N$8</f>
        <v>101.85185185185185</v>
      </c>
      <c r="G16" s="429">
        <f>'[17]ASSISTING ANALYSES'!$D$26</f>
        <v>15.185185185185183</v>
      </c>
      <c r="H16" s="431">
        <f>SUM(B16:G16)</f>
        <v>5030.3703703703704</v>
      </c>
      <c r="I16" s="406"/>
      <c r="J16" s="407"/>
      <c r="K16" s="408"/>
      <c r="L16" s="432" t="s">
        <v>148</v>
      </c>
      <c r="M16" s="430"/>
      <c r="N16" s="430"/>
      <c r="O16" s="430"/>
      <c r="P16" s="430"/>
      <c r="Q16" s="430"/>
      <c r="R16" s="430"/>
      <c r="S16" s="433"/>
      <c r="W16" s="1262"/>
      <c r="X16" s="418" t="s">
        <v>149</v>
      </c>
      <c r="Y16" s="419"/>
      <c r="Z16" s="419">
        <v>1</v>
      </c>
      <c r="AA16" s="419">
        <f t="shared" si="0"/>
        <v>1</v>
      </c>
    </row>
    <row r="17" spans="1:32" ht="20.100000000000001" customHeight="1">
      <c r="A17" s="428" t="s">
        <v>149</v>
      </c>
      <c r="B17" s="429"/>
      <c r="C17" s="430"/>
      <c r="D17" s="429"/>
      <c r="E17" s="429"/>
      <c r="F17" s="429"/>
      <c r="G17" s="429"/>
      <c r="H17" s="431">
        <f t="shared" si="1"/>
        <v>0</v>
      </c>
      <c r="I17" s="406"/>
      <c r="J17" s="407"/>
      <c r="K17" s="408"/>
      <c r="L17" s="432" t="s">
        <v>149</v>
      </c>
      <c r="M17" s="430">
        <v>2000</v>
      </c>
      <c r="N17" s="430">
        <f>'[17]ASSISTING ANALYSES'!$H$14</f>
        <v>555.55555555555554</v>
      </c>
      <c r="O17" s="430"/>
      <c r="P17" s="430">
        <f>'[17]ASSISTING ANALYSES'!$H$32</f>
        <v>62.5</v>
      </c>
      <c r="Q17" s="430"/>
      <c r="R17" s="430">
        <f>'[17]ASSISTING ANALYSES'!$D$11</f>
        <v>36.388888888888886</v>
      </c>
      <c r="S17" s="433">
        <f>SUM(M17:R17)</f>
        <v>2654.4444444444443</v>
      </c>
      <c r="W17" s="1262"/>
      <c r="X17" s="418" t="s">
        <v>518</v>
      </c>
      <c r="Y17" s="419"/>
      <c r="Z17" s="419">
        <v>1</v>
      </c>
      <c r="AA17" s="419">
        <f t="shared" si="0"/>
        <v>1</v>
      </c>
    </row>
    <row r="18" spans="1:32" ht="20.100000000000001" customHeight="1">
      <c r="A18" s="428" t="s">
        <v>519</v>
      </c>
      <c r="B18" s="429"/>
      <c r="C18" s="430"/>
      <c r="D18" s="429"/>
      <c r="E18" s="429"/>
      <c r="F18" s="429"/>
      <c r="G18" s="429"/>
      <c r="H18" s="431">
        <f t="shared" si="1"/>
        <v>0</v>
      </c>
      <c r="I18" s="406"/>
      <c r="J18" s="407"/>
      <c r="K18" s="408"/>
      <c r="L18" s="432" t="s">
        <v>519</v>
      </c>
      <c r="M18" s="430">
        <v>750</v>
      </c>
      <c r="N18" s="430">
        <f>'[17]ASSISTING ANALYSES'!$H$14</f>
        <v>555.55555555555554</v>
      </c>
      <c r="O18" s="430" t="s">
        <v>109</v>
      </c>
      <c r="P18" s="430">
        <f>'[17]ASSISTING ANALYSES'!$H$32</f>
        <v>62.5</v>
      </c>
      <c r="Q18" s="430" t="s">
        <v>109</v>
      </c>
      <c r="R18" s="430">
        <f>'[17]ASSISTING ANALYSES'!$D$11</f>
        <v>36.388888888888886</v>
      </c>
      <c r="S18" s="433">
        <f>SUM(M18:R18)</f>
        <v>1404.4444444444446</v>
      </c>
      <c r="W18" s="1262"/>
      <c r="X18" s="418" t="s">
        <v>520</v>
      </c>
      <c r="Y18" s="419"/>
      <c r="Z18" s="419">
        <v>2</v>
      </c>
      <c r="AA18" s="419">
        <f t="shared" si="0"/>
        <v>2</v>
      </c>
    </row>
    <row r="19" spans="1:32" ht="20.100000000000001" customHeight="1" thickBot="1">
      <c r="A19" s="428" t="s">
        <v>521</v>
      </c>
      <c r="B19" s="429">
        <v>3000</v>
      </c>
      <c r="C19" s="430">
        <f>'[17]ASSISTING ANALYSES'!$H$11</f>
        <v>972.22222222222217</v>
      </c>
      <c r="D19" s="429">
        <f>'[17]ASSISTING ANALYSES'!$N$16</f>
        <v>208.33333333333331</v>
      </c>
      <c r="E19" s="429">
        <f>'[17]ASSISTING ANALYSES'!$H$31</f>
        <v>232.77777777777777</v>
      </c>
      <c r="F19" s="429">
        <f>'[17]ASSISTING ANALYSES'!$N$8</f>
        <v>101.85185185185185</v>
      </c>
      <c r="G19" s="429">
        <f>'[17]ASSISTING ANALYSES'!$D$26</f>
        <v>15.185185185185183</v>
      </c>
      <c r="H19" s="431">
        <f t="shared" si="1"/>
        <v>4530.3703703703704</v>
      </c>
      <c r="I19" s="406"/>
      <c r="J19" s="407"/>
      <c r="K19" s="408"/>
      <c r="L19" s="432" t="s">
        <v>520</v>
      </c>
      <c r="M19" s="430">
        <v>750</v>
      </c>
      <c r="N19" s="430">
        <f>'[17]ASSISTING ANALYSES'!$H$14</f>
        <v>555.55555555555554</v>
      </c>
      <c r="O19" s="430" t="s">
        <v>109</v>
      </c>
      <c r="P19" s="430">
        <f>'[17]ASSISTING ANALYSES'!$H$32</f>
        <v>62.5</v>
      </c>
      <c r="Q19" s="430" t="s">
        <v>109</v>
      </c>
      <c r="R19" s="430">
        <f>'[17]ASSISTING ANALYSES'!$D$11</f>
        <v>36.388888888888886</v>
      </c>
      <c r="S19" s="433">
        <f>SUM(M19:R19)</f>
        <v>1404.4444444444446</v>
      </c>
      <c r="W19" s="1263"/>
      <c r="X19" s="435" t="s">
        <v>150</v>
      </c>
      <c r="Y19" s="436"/>
      <c r="Z19" s="436">
        <v>2</v>
      </c>
      <c r="AA19" s="436">
        <f t="shared" si="0"/>
        <v>2</v>
      </c>
    </row>
    <row r="20" spans="1:32" ht="20.100000000000001" customHeight="1" thickBot="1">
      <c r="A20" s="437" t="s">
        <v>150</v>
      </c>
      <c r="B20" s="438"/>
      <c r="C20" s="439"/>
      <c r="D20" s="438"/>
      <c r="E20" s="438"/>
      <c r="F20" s="438"/>
      <c r="G20" s="438"/>
      <c r="H20" s="440"/>
      <c r="I20" s="406"/>
      <c r="J20" s="407"/>
      <c r="K20" s="408"/>
      <c r="L20" s="441" t="s">
        <v>150</v>
      </c>
      <c r="M20" s="439">
        <v>750</v>
      </c>
      <c r="N20" s="439">
        <f>'[17]ASSISTING ANALYSES'!$H$14</f>
        <v>555.55555555555554</v>
      </c>
      <c r="O20" s="439" t="s">
        <v>109</v>
      </c>
      <c r="P20" s="439">
        <f>'[17]ASSISTING ANALYSES'!$H$32</f>
        <v>62.5</v>
      </c>
      <c r="Q20" s="439" t="s">
        <v>109</v>
      </c>
      <c r="R20" s="439">
        <f>'[17]ASSISTING ANALYSES'!$D$11</f>
        <v>36.388888888888886</v>
      </c>
      <c r="S20" s="442">
        <f>SUM(M20:R20)</f>
        <v>1404.4444444444446</v>
      </c>
      <c r="X20" s="443" t="s">
        <v>120</v>
      </c>
      <c r="Y20" s="444">
        <f>SUM(Y5:Y19)</f>
        <v>5</v>
      </c>
      <c r="Z20" s="444">
        <f>SUM(Z5:Z19)</f>
        <v>8</v>
      </c>
      <c r="AA20" s="445">
        <f>SUM(AA5:AA19)</f>
        <v>13</v>
      </c>
    </row>
    <row r="21" spans="1:32" ht="24.95" customHeight="1">
      <c r="A21" s="446"/>
      <c r="B21" s="446"/>
      <c r="C21" s="446"/>
      <c r="D21" s="446"/>
      <c r="E21" s="446"/>
      <c r="F21" s="446"/>
      <c r="G21" s="446"/>
      <c r="H21" s="446"/>
      <c r="I21" s="406"/>
      <c r="J21" s="407"/>
      <c r="K21" s="408"/>
      <c r="L21" s="446"/>
      <c r="M21" s="446"/>
      <c r="N21" s="446"/>
      <c r="O21" s="446"/>
      <c r="P21" s="446"/>
      <c r="Q21" s="446"/>
      <c r="R21" s="446"/>
      <c r="S21" s="446"/>
      <c r="W21" s="1261" t="s">
        <v>151</v>
      </c>
      <c r="X21" s="447" t="s">
        <v>152</v>
      </c>
      <c r="Y21" s="448">
        <v>1</v>
      </c>
      <c r="Z21" s="448">
        <v>0</v>
      </c>
      <c r="AA21" s="448">
        <f t="shared" ref="AA21:AA30" si="2">Y21+Z21</f>
        <v>1</v>
      </c>
    </row>
    <row r="22" spans="1:32" ht="24.95" customHeight="1" thickBot="1">
      <c r="A22" s="446"/>
      <c r="B22" s="446"/>
      <c r="C22" s="446"/>
      <c r="D22" s="446"/>
      <c r="E22" s="446"/>
      <c r="F22" s="446"/>
      <c r="G22" s="446"/>
      <c r="H22" s="446"/>
      <c r="I22" s="406"/>
      <c r="J22" s="407"/>
      <c r="K22" s="408"/>
      <c r="L22" s="446"/>
      <c r="M22" s="446"/>
      <c r="N22" s="446"/>
      <c r="O22" s="446"/>
      <c r="P22" s="446"/>
      <c r="Q22" s="446"/>
      <c r="R22" s="446"/>
      <c r="S22" s="446"/>
      <c r="W22" s="1262"/>
      <c r="X22" s="418" t="s">
        <v>153</v>
      </c>
      <c r="Y22" s="419"/>
      <c r="Z22" s="419"/>
      <c r="AA22" s="419">
        <f t="shared" si="2"/>
        <v>0</v>
      </c>
    </row>
    <row r="23" spans="1:32" ht="20.100000000000001" customHeight="1" thickBot="1">
      <c r="A23" s="1264" t="s">
        <v>522</v>
      </c>
      <c r="B23" s="1265"/>
      <c r="C23" s="1265"/>
      <c r="D23" s="1265"/>
      <c r="E23" s="1265"/>
      <c r="F23" s="1265"/>
      <c r="G23" s="1265"/>
      <c r="H23" s="1266"/>
      <c r="I23" s="406"/>
      <c r="J23" s="407"/>
      <c r="K23" s="408"/>
      <c r="L23" s="1264" t="s">
        <v>522</v>
      </c>
      <c r="M23" s="1265"/>
      <c r="N23" s="1265"/>
      <c r="O23" s="1265"/>
      <c r="P23" s="1265"/>
      <c r="Q23" s="1265"/>
      <c r="R23" s="1265"/>
      <c r="S23" s="1266"/>
      <c r="W23" s="1262"/>
      <c r="X23" s="418" t="s">
        <v>154</v>
      </c>
      <c r="Y23" s="419"/>
      <c r="Z23" s="419"/>
      <c r="AA23" s="419">
        <f t="shared" si="2"/>
        <v>0</v>
      </c>
    </row>
    <row r="24" spans="1:32" ht="20.100000000000001" customHeight="1">
      <c r="A24" s="1270" t="s">
        <v>504</v>
      </c>
      <c r="B24" s="409" t="s">
        <v>505</v>
      </c>
      <c r="C24" s="409" t="s">
        <v>506</v>
      </c>
      <c r="D24" s="409" t="s">
        <v>281</v>
      </c>
      <c r="E24" s="409" t="s">
        <v>507</v>
      </c>
      <c r="F24" s="409" t="s">
        <v>508</v>
      </c>
      <c r="G24" s="409" t="s">
        <v>509</v>
      </c>
      <c r="H24" s="410" t="s">
        <v>298</v>
      </c>
      <c r="I24" s="406"/>
      <c r="J24" s="407"/>
      <c r="K24" s="408"/>
      <c r="L24" s="1270" t="s">
        <v>510</v>
      </c>
      <c r="M24" s="409" t="s">
        <v>505</v>
      </c>
      <c r="N24" s="409" t="s">
        <v>506</v>
      </c>
      <c r="O24" s="409" t="s">
        <v>281</v>
      </c>
      <c r="P24" s="409" t="s">
        <v>507</v>
      </c>
      <c r="Q24" s="409" t="s">
        <v>508</v>
      </c>
      <c r="R24" s="409" t="s">
        <v>509</v>
      </c>
      <c r="S24" s="410" t="s">
        <v>298</v>
      </c>
      <c r="W24" s="1262"/>
      <c r="X24" s="418" t="s">
        <v>155</v>
      </c>
      <c r="Y24" s="419">
        <v>1</v>
      </c>
      <c r="Z24" s="419"/>
      <c r="AA24" s="419">
        <f t="shared" si="2"/>
        <v>1</v>
      </c>
    </row>
    <row r="25" spans="1:32" ht="20.100000000000001" customHeight="1" thickBot="1">
      <c r="A25" s="1276"/>
      <c r="B25" s="415" t="s">
        <v>102</v>
      </c>
      <c r="C25" s="415" t="s">
        <v>511</v>
      </c>
      <c r="D25" s="415" t="s">
        <v>102</v>
      </c>
      <c r="E25" s="415" t="s">
        <v>102</v>
      </c>
      <c r="F25" s="415" t="s">
        <v>102</v>
      </c>
      <c r="G25" s="415" t="s">
        <v>102</v>
      </c>
      <c r="H25" s="416" t="s">
        <v>102</v>
      </c>
      <c r="I25" s="406"/>
      <c r="J25" s="407"/>
      <c r="K25" s="408"/>
      <c r="L25" s="1271"/>
      <c r="M25" s="449" t="s">
        <v>102</v>
      </c>
      <c r="N25" s="449" t="s">
        <v>511</v>
      </c>
      <c r="O25" s="449" t="s">
        <v>102</v>
      </c>
      <c r="P25" s="449" t="s">
        <v>102</v>
      </c>
      <c r="Q25" s="449" t="s">
        <v>102</v>
      </c>
      <c r="R25" s="449" t="s">
        <v>102</v>
      </c>
      <c r="S25" s="450" t="s">
        <v>102</v>
      </c>
      <c r="W25" s="1262"/>
      <c r="X25" s="418" t="s">
        <v>156</v>
      </c>
      <c r="Y25" s="419"/>
      <c r="Z25" s="419"/>
      <c r="AA25" s="419">
        <f t="shared" si="2"/>
        <v>0</v>
      </c>
    </row>
    <row r="26" spans="1:32" ht="20.100000000000001" customHeight="1">
      <c r="A26" s="451" t="s">
        <v>152</v>
      </c>
      <c r="B26" s="422">
        <v>3500</v>
      </c>
      <c r="C26" s="423">
        <f>'[17]ASSISTING ANALYSES'!$H$11</f>
        <v>972.22222222222217</v>
      </c>
      <c r="D26" s="422">
        <f>'[17]ASSISTING ANALYSES'!$N$16</f>
        <v>208.33333333333331</v>
      </c>
      <c r="E26" s="422">
        <f>'[17]ASSISTING ANALYSES'!$H$31</f>
        <v>232.77777777777777</v>
      </c>
      <c r="F26" s="422">
        <f>'[17]ASSISTING ANALYSES'!$N$8</f>
        <v>101.85185185185185</v>
      </c>
      <c r="G26" s="429">
        <f>'[17]ASSISTING ANALYSES'!$D$26</f>
        <v>15.185185185185183</v>
      </c>
      <c r="H26" s="424">
        <f>SUM(B26:G26)</f>
        <v>5030.3703703703704</v>
      </c>
      <c r="I26" s="406"/>
      <c r="J26" s="407"/>
      <c r="K26" s="408"/>
      <c r="L26" s="432" t="s">
        <v>152</v>
      </c>
      <c r="M26" s="430"/>
      <c r="N26" s="430"/>
      <c r="O26" s="430"/>
      <c r="P26" s="430"/>
      <c r="Q26" s="430"/>
      <c r="R26" s="430"/>
      <c r="S26" s="433"/>
      <c r="W26" s="1262"/>
      <c r="X26" s="418" t="s">
        <v>157</v>
      </c>
      <c r="Y26" s="419"/>
      <c r="Z26" s="419">
        <v>1</v>
      </c>
      <c r="AA26" s="419">
        <f t="shared" si="2"/>
        <v>1</v>
      </c>
    </row>
    <row r="27" spans="1:32" ht="20.100000000000001" customHeight="1">
      <c r="A27" s="432" t="s">
        <v>153</v>
      </c>
      <c r="B27" s="429">
        <v>2500</v>
      </c>
      <c r="C27" s="430">
        <f>'[17]ASSISTING ANALYSES'!$H$11</f>
        <v>972.22222222222217</v>
      </c>
      <c r="D27" s="429">
        <f>'[17]ASSISTING ANALYSES'!$N$16</f>
        <v>208.33333333333331</v>
      </c>
      <c r="E27" s="429">
        <f>'[17]ASSISTING ANALYSES'!$H$31</f>
        <v>232.77777777777777</v>
      </c>
      <c r="F27" s="429">
        <f>'[17]ASSISTING ANALYSES'!$N$8</f>
        <v>101.85185185185185</v>
      </c>
      <c r="G27" s="429">
        <f>'[17]ASSISTING ANALYSES'!$D$26</f>
        <v>15.185185185185183</v>
      </c>
      <c r="H27" s="431">
        <f>SUM(B27:G27)</f>
        <v>4030.3703703703704</v>
      </c>
      <c r="I27" s="406"/>
      <c r="J27" s="407"/>
      <c r="K27" s="408"/>
      <c r="L27" s="432" t="s">
        <v>153</v>
      </c>
      <c r="M27" s="430"/>
      <c r="N27" s="430"/>
      <c r="O27" s="430"/>
      <c r="P27" s="430"/>
      <c r="Q27" s="430"/>
      <c r="R27" s="430"/>
      <c r="S27" s="433"/>
      <c r="W27" s="1262"/>
      <c r="X27" s="418" t="s">
        <v>158</v>
      </c>
      <c r="Y27" s="419"/>
      <c r="Z27" s="419">
        <v>1</v>
      </c>
      <c r="AA27" s="419">
        <f t="shared" si="2"/>
        <v>1</v>
      </c>
    </row>
    <row r="28" spans="1:32" ht="20.100000000000001" customHeight="1">
      <c r="A28" s="432" t="s">
        <v>154</v>
      </c>
      <c r="B28" s="429"/>
      <c r="C28" s="430"/>
      <c r="D28" s="430"/>
      <c r="E28" s="430"/>
      <c r="F28" s="430"/>
      <c r="G28" s="430"/>
      <c r="H28" s="433"/>
      <c r="I28" s="406"/>
      <c r="J28" s="407"/>
      <c r="K28" s="408"/>
      <c r="L28" s="432" t="s">
        <v>154</v>
      </c>
      <c r="M28" s="430">
        <v>3000</v>
      </c>
      <c r="N28" s="430">
        <f>'[17]ASSISTING ANALYSES'!H14</f>
        <v>555.55555555555554</v>
      </c>
      <c r="O28" s="430" t="s">
        <v>109</v>
      </c>
      <c r="P28" s="430">
        <f>'[17]ASSISTING ANALYSES'!$H$32</f>
        <v>62.5</v>
      </c>
      <c r="Q28" s="430" t="s">
        <v>109</v>
      </c>
      <c r="R28" s="430" t="s">
        <v>109</v>
      </c>
      <c r="S28" s="433">
        <f>SUM(M28:R28)</f>
        <v>3618.0555555555557</v>
      </c>
      <c r="W28" s="1262"/>
      <c r="X28" s="418" t="s">
        <v>523</v>
      </c>
      <c r="Y28" s="419"/>
      <c r="Z28" s="419">
        <v>1</v>
      </c>
      <c r="AA28" s="419">
        <f t="shared" si="2"/>
        <v>1</v>
      </c>
    </row>
    <row r="29" spans="1:32" ht="20.100000000000001" customHeight="1">
      <c r="A29" s="432" t="s">
        <v>155</v>
      </c>
      <c r="B29" s="429">
        <v>500</v>
      </c>
      <c r="C29" s="430" t="s">
        <v>109</v>
      </c>
      <c r="D29" s="430" t="s">
        <v>109</v>
      </c>
      <c r="E29" s="430" t="s">
        <v>109</v>
      </c>
      <c r="F29" s="430" t="s">
        <v>109</v>
      </c>
      <c r="G29" s="430" t="s">
        <v>109</v>
      </c>
      <c r="H29" s="433">
        <f>SUM(B29:G29)</f>
        <v>500</v>
      </c>
      <c r="I29" s="406"/>
      <c r="J29" s="407"/>
      <c r="K29" s="408"/>
      <c r="L29" s="432" t="s">
        <v>155</v>
      </c>
      <c r="M29" s="430"/>
      <c r="N29" s="430"/>
      <c r="O29" s="430"/>
      <c r="P29" s="430"/>
      <c r="Q29" s="430"/>
      <c r="R29" s="430"/>
      <c r="S29" s="433"/>
      <c r="W29" s="1262"/>
      <c r="X29" s="418" t="s">
        <v>524</v>
      </c>
      <c r="Y29" s="419"/>
      <c r="Z29" s="419"/>
      <c r="AA29" s="419">
        <f t="shared" si="2"/>
        <v>0</v>
      </c>
    </row>
    <row r="30" spans="1:32" ht="20.100000000000001" customHeight="1" thickBot="1">
      <c r="A30" s="432" t="s">
        <v>156</v>
      </c>
      <c r="B30" s="429"/>
      <c r="C30" s="430"/>
      <c r="D30" s="430"/>
      <c r="E30" s="430"/>
      <c r="F30" s="430"/>
      <c r="G30" s="430"/>
      <c r="H30" s="433"/>
      <c r="I30" s="406"/>
      <c r="J30" s="407"/>
      <c r="K30" s="408"/>
      <c r="L30" s="432" t="s">
        <v>156</v>
      </c>
      <c r="M30" s="430"/>
      <c r="N30" s="430"/>
      <c r="O30" s="430"/>
      <c r="P30" s="430"/>
      <c r="Q30" s="430"/>
      <c r="R30" s="430"/>
      <c r="S30" s="433"/>
      <c r="W30" s="1263"/>
      <c r="X30" s="418" t="s">
        <v>161</v>
      </c>
      <c r="Y30" s="436"/>
      <c r="Z30" s="436"/>
      <c r="AA30" s="436">
        <f t="shared" si="2"/>
        <v>0</v>
      </c>
    </row>
    <row r="31" spans="1:32" ht="20.100000000000001" customHeight="1" thickBot="1">
      <c r="A31" s="432" t="s">
        <v>157</v>
      </c>
      <c r="B31" s="429">
        <v>1000</v>
      </c>
      <c r="C31" s="430">
        <f>'[17]ASSISTING ANALYSES'!$H$7</f>
        <v>115.74074074074075</v>
      </c>
      <c r="D31" s="429">
        <f>'[17]ASSISTING ANALYSES'!$N$16</f>
        <v>208.33333333333331</v>
      </c>
      <c r="E31" s="429">
        <f>'[17]ASSISTING ANALYSES'!$H$31</f>
        <v>232.77777777777777</v>
      </c>
      <c r="F31" s="430" t="s">
        <v>109</v>
      </c>
      <c r="G31" s="429">
        <f>'[17]ASSISTING ANALYSES'!$D$26</f>
        <v>15.185185185185183</v>
      </c>
      <c r="H31" s="433">
        <f>SUM(B31:G31)</f>
        <v>1572.037037037037</v>
      </c>
      <c r="I31" s="406"/>
      <c r="J31" s="407"/>
      <c r="K31" s="408"/>
      <c r="L31" s="432" t="s">
        <v>157</v>
      </c>
      <c r="M31" s="430">
        <v>500</v>
      </c>
      <c r="N31" s="430">
        <f>'[17]ASSISTING ANALYSES'!$H$7</f>
        <v>115.74074074074075</v>
      </c>
      <c r="O31" s="430" t="s">
        <v>109</v>
      </c>
      <c r="P31" s="430">
        <f>'[17]ASSISTING ANALYSES'!$H$32</f>
        <v>62.5</v>
      </c>
      <c r="Q31" s="430" t="s">
        <v>109</v>
      </c>
      <c r="R31" s="430">
        <f>'[17]ASSISTING ANALYSES'!$D$11</f>
        <v>36.388888888888886</v>
      </c>
      <c r="S31" s="433">
        <f>SUM(M31:R31)</f>
        <v>714.62962962962968</v>
      </c>
      <c r="X31" s="452" t="s">
        <v>120</v>
      </c>
      <c r="Y31" s="453">
        <f>SUM(Y21:Y30)</f>
        <v>2</v>
      </c>
      <c r="Z31" s="453">
        <f>SUM(Z21:Z30)</f>
        <v>3</v>
      </c>
      <c r="AA31" s="445">
        <f>SUM(AA21:AA30)</f>
        <v>5</v>
      </c>
    </row>
    <row r="32" spans="1:32" ht="20.100000000000001" customHeight="1">
      <c r="A32" s="432" t="s">
        <v>158</v>
      </c>
      <c r="B32" s="429"/>
      <c r="C32" s="430"/>
      <c r="D32" s="430"/>
      <c r="E32" s="430"/>
      <c r="F32" s="430"/>
      <c r="G32" s="430"/>
      <c r="H32" s="433"/>
      <c r="I32" s="406"/>
      <c r="J32" s="407"/>
      <c r="K32" s="408"/>
      <c r="L32" s="432" t="s">
        <v>158</v>
      </c>
      <c r="M32" s="430">
        <v>500</v>
      </c>
      <c r="N32" s="430">
        <f>'[17]ASSISTING ANALYSES'!$H$7</f>
        <v>115.74074074074075</v>
      </c>
      <c r="O32" s="430" t="s">
        <v>109</v>
      </c>
      <c r="P32" s="430">
        <f>'[17]ASSISTING ANALYSES'!$H$32</f>
        <v>62.5</v>
      </c>
      <c r="Q32" s="430" t="s">
        <v>109</v>
      </c>
      <c r="R32" s="430">
        <f>'[17]ASSISTING ANALYSES'!$D$11</f>
        <v>36.388888888888886</v>
      </c>
      <c r="S32" s="433">
        <f>SUM(M32:R32)</f>
        <v>714.62962962962968</v>
      </c>
      <c r="W32" s="1277" t="s">
        <v>525</v>
      </c>
      <c r="X32" s="447" t="s">
        <v>526</v>
      </c>
      <c r="Y32" s="448">
        <v>1</v>
      </c>
      <c r="Z32" s="448"/>
      <c r="AA32" s="454">
        <f>(Y32+Z32)*$AF$32</f>
        <v>0.25</v>
      </c>
      <c r="AB32" s="446" t="s">
        <v>527</v>
      </c>
      <c r="AF32" s="455">
        <v>0.25</v>
      </c>
    </row>
    <row r="33" spans="1:27" ht="20.100000000000001" customHeight="1">
      <c r="A33" s="432" t="s">
        <v>159</v>
      </c>
      <c r="B33" s="429"/>
      <c r="C33" s="430"/>
      <c r="D33" s="430"/>
      <c r="E33" s="430"/>
      <c r="F33" s="430"/>
      <c r="G33" s="430"/>
      <c r="H33" s="433"/>
      <c r="I33" s="406"/>
      <c r="J33" s="407"/>
      <c r="K33" s="408"/>
      <c r="L33" s="432" t="s">
        <v>159</v>
      </c>
      <c r="M33" s="430">
        <v>300</v>
      </c>
      <c r="N33" s="430">
        <f>'[17]ASSISTING ANALYSES'!$H$7</f>
        <v>115.74074074074075</v>
      </c>
      <c r="O33" s="430" t="s">
        <v>109</v>
      </c>
      <c r="P33" s="430">
        <f>'[17]ASSISTING ANALYSES'!$H$32</f>
        <v>62.5</v>
      </c>
      <c r="Q33" s="430" t="s">
        <v>109</v>
      </c>
      <c r="R33" s="430">
        <f>'[17]ASSISTING ANALYSES'!$D$11</f>
        <v>36.388888888888886</v>
      </c>
      <c r="S33" s="433">
        <f>SUM(M33:R33)</f>
        <v>514.62962962962968</v>
      </c>
      <c r="W33" s="1278"/>
      <c r="X33" s="418" t="s">
        <v>153</v>
      </c>
      <c r="Y33" s="419"/>
      <c r="Z33" s="419">
        <v>1</v>
      </c>
      <c r="AA33" s="456">
        <f t="shared" ref="AA33:AA38" si="3">(Y33+Z33)*$AF$32</f>
        <v>0.25</v>
      </c>
    </row>
    <row r="34" spans="1:27" ht="20.100000000000001" customHeight="1">
      <c r="A34" s="432" t="s">
        <v>160</v>
      </c>
      <c r="B34" s="429"/>
      <c r="C34" s="430"/>
      <c r="D34" s="430"/>
      <c r="E34" s="430"/>
      <c r="F34" s="430"/>
      <c r="G34" s="430"/>
      <c r="H34" s="433"/>
      <c r="I34" s="406"/>
      <c r="J34" s="407"/>
      <c r="K34" s="408"/>
      <c r="L34" s="432" t="s">
        <v>524</v>
      </c>
      <c r="M34" s="430">
        <v>500</v>
      </c>
      <c r="N34" s="430" t="s">
        <v>109</v>
      </c>
      <c r="O34" s="430" t="s">
        <v>109</v>
      </c>
      <c r="P34" s="430" t="s">
        <v>109</v>
      </c>
      <c r="Q34" s="430" t="s">
        <v>109</v>
      </c>
      <c r="R34" s="430" t="s">
        <v>109</v>
      </c>
      <c r="S34" s="433">
        <f>SUM(M34:R34)</f>
        <v>500</v>
      </c>
      <c r="W34" s="1278"/>
      <c r="X34" s="418" t="s">
        <v>154</v>
      </c>
      <c r="Y34" s="419"/>
      <c r="Z34" s="419">
        <v>1</v>
      </c>
      <c r="AA34" s="456">
        <f t="shared" si="3"/>
        <v>0.25</v>
      </c>
    </row>
    <row r="35" spans="1:27" ht="20.100000000000001" customHeight="1" thickBot="1">
      <c r="A35" s="441" t="s">
        <v>161</v>
      </c>
      <c r="B35" s="438">
        <v>500</v>
      </c>
      <c r="C35" s="439" t="s">
        <v>109</v>
      </c>
      <c r="D35" s="439" t="s">
        <v>109</v>
      </c>
      <c r="E35" s="439" t="s">
        <v>109</v>
      </c>
      <c r="F35" s="439" t="s">
        <v>109</v>
      </c>
      <c r="G35" s="439" t="s">
        <v>109</v>
      </c>
      <c r="H35" s="442">
        <f>SUM(B35:G35)</f>
        <v>500</v>
      </c>
      <c r="I35" s="406"/>
      <c r="J35" s="407"/>
      <c r="K35" s="408"/>
      <c r="L35" s="441" t="s">
        <v>161</v>
      </c>
      <c r="M35" s="439"/>
      <c r="N35" s="439"/>
      <c r="O35" s="439"/>
      <c r="P35" s="439"/>
      <c r="Q35" s="439"/>
      <c r="R35" s="439"/>
      <c r="S35" s="442"/>
      <c r="W35" s="1278"/>
      <c r="X35" s="418" t="s">
        <v>528</v>
      </c>
      <c r="Y35" s="419">
        <v>1</v>
      </c>
      <c r="Z35" s="419"/>
      <c r="AA35" s="456">
        <f t="shared" si="3"/>
        <v>0.25</v>
      </c>
    </row>
    <row r="36" spans="1:27" ht="20.100000000000001" customHeight="1" thickBot="1">
      <c r="A36" s="446"/>
      <c r="B36" s="446"/>
      <c r="C36" s="446"/>
      <c r="D36" s="446"/>
      <c r="E36" s="446"/>
      <c r="F36" s="446"/>
      <c r="G36" s="446"/>
      <c r="H36" s="446"/>
      <c r="I36" s="406"/>
      <c r="J36" s="407"/>
      <c r="K36" s="408"/>
      <c r="L36" s="446"/>
      <c r="M36" s="446"/>
      <c r="N36" s="446"/>
      <c r="O36" s="446"/>
      <c r="P36" s="446"/>
      <c r="Q36" s="446"/>
      <c r="R36" s="446"/>
      <c r="S36" s="446"/>
      <c r="W36" s="1278"/>
      <c r="X36" s="418" t="s">
        <v>147</v>
      </c>
      <c r="Y36" s="419">
        <v>1</v>
      </c>
      <c r="Z36" s="419"/>
      <c r="AA36" s="456">
        <f t="shared" si="3"/>
        <v>0.25</v>
      </c>
    </row>
    <row r="37" spans="1:27" ht="20.100000000000001" customHeight="1" thickBot="1">
      <c r="A37" s="1264" t="s">
        <v>522</v>
      </c>
      <c r="B37" s="1265"/>
      <c r="C37" s="1265"/>
      <c r="D37" s="1265"/>
      <c r="E37" s="1265"/>
      <c r="F37" s="1265"/>
      <c r="G37" s="1265"/>
      <c r="H37" s="1266"/>
      <c r="I37" s="406"/>
      <c r="J37" s="407"/>
      <c r="K37" s="408"/>
      <c r="L37" s="1264" t="s">
        <v>522</v>
      </c>
      <c r="M37" s="1265"/>
      <c r="N37" s="1265"/>
      <c r="O37" s="1265"/>
      <c r="P37" s="1265"/>
      <c r="Q37" s="1265"/>
      <c r="R37" s="1265"/>
      <c r="S37" s="1266"/>
      <c r="W37" s="1278"/>
      <c r="X37" s="418" t="s">
        <v>158</v>
      </c>
      <c r="Y37" s="419"/>
      <c r="Z37" s="419">
        <v>1</v>
      </c>
      <c r="AA37" s="456">
        <f t="shared" si="3"/>
        <v>0.25</v>
      </c>
    </row>
    <row r="38" spans="1:27" ht="24.95" customHeight="1" thickBot="1">
      <c r="A38" s="1270" t="s">
        <v>504</v>
      </c>
      <c r="B38" s="409" t="s">
        <v>505</v>
      </c>
      <c r="C38" s="409" t="s">
        <v>506</v>
      </c>
      <c r="D38" s="409" t="s">
        <v>281</v>
      </c>
      <c r="E38" s="409" t="s">
        <v>507</v>
      </c>
      <c r="F38" s="409" t="s">
        <v>508</v>
      </c>
      <c r="G38" s="409" t="s">
        <v>509</v>
      </c>
      <c r="H38" s="410" t="s">
        <v>298</v>
      </c>
      <c r="I38" s="406"/>
      <c r="J38" s="407"/>
      <c r="K38" s="408"/>
      <c r="L38" s="1270" t="s">
        <v>510</v>
      </c>
      <c r="M38" s="409" t="s">
        <v>505</v>
      </c>
      <c r="N38" s="409" t="s">
        <v>506</v>
      </c>
      <c r="O38" s="409" t="s">
        <v>281</v>
      </c>
      <c r="P38" s="409" t="s">
        <v>507</v>
      </c>
      <c r="Q38" s="409" t="s">
        <v>508</v>
      </c>
      <c r="R38" s="409" t="s">
        <v>509</v>
      </c>
      <c r="S38" s="410" t="s">
        <v>298</v>
      </c>
      <c r="W38" s="1279"/>
      <c r="X38" s="418" t="s">
        <v>523</v>
      </c>
      <c r="Y38" s="419"/>
      <c r="Z38" s="419">
        <v>1</v>
      </c>
      <c r="AA38" s="456">
        <f t="shared" si="3"/>
        <v>0.25</v>
      </c>
    </row>
    <row r="39" spans="1:27" ht="24.95" customHeight="1" thickBot="1">
      <c r="A39" s="1276"/>
      <c r="B39" s="415" t="s">
        <v>102</v>
      </c>
      <c r="C39" s="415" t="s">
        <v>511</v>
      </c>
      <c r="D39" s="415" t="s">
        <v>102</v>
      </c>
      <c r="E39" s="415" t="s">
        <v>102</v>
      </c>
      <c r="F39" s="415" t="s">
        <v>102</v>
      </c>
      <c r="G39" s="415" t="s">
        <v>102</v>
      </c>
      <c r="H39" s="416" t="s">
        <v>102</v>
      </c>
      <c r="I39" s="406"/>
      <c r="J39" s="407"/>
      <c r="K39" s="408"/>
      <c r="L39" s="1271"/>
      <c r="M39" s="449" t="s">
        <v>102</v>
      </c>
      <c r="N39" s="449" t="s">
        <v>511</v>
      </c>
      <c r="O39" s="449" t="s">
        <v>102</v>
      </c>
      <c r="P39" s="449" t="s">
        <v>102</v>
      </c>
      <c r="Q39" s="449" t="s">
        <v>102</v>
      </c>
      <c r="R39" s="449" t="s">
        <v>102</v>
      </c>
      <c r="S39" s="450" t="s">
        <v>102</v>
      </c>
      <c r="X39" s="452" t="s">
        <v>120</v>
      </c>
      <c r="Y39" s="453">
        <f>SUM(Y32:Y38)</f>
        <v>3</v>
      </c>
      <c r="Z39" s="453">
        <f>SUM(Z32:Z38)</f>
        <v>4</v>
      </c>
      <c r="AA39" s="445">
        <f>SUM(AA32:AA38)</f>
        <v>1.75</v>
      </c>
    </row>
    <row r="40" spans="1:27" ht="24.95" customHeight="1">
      <c r="A40" s="447" t="s">
        <v>526</v>
      </c>
      <c r="B40" s="422">
        <v>5000</v>
      </c>
      <c r="C40" s="423">
        <v>2000</v>
      </c>
      <c r="D40" s="422">
        <f>'[17]ASSISTING ANALYSES'!$N$16</f>
        <v>208.33333333333331</v>
      </c>
      <c r="E40" s="422">
        <f>'[17]ASSISTING ANALYSES'!$H$31</f>
        <v>232.77777777777777</v>
      </c>
      <c r="F40" s="422">
        <f>'[17]ASSISTING ANALYSES'!$N$8</f>
        <v>101.85185185185185</v>
      </c>
      <c r="G40" s="429">
        <f>'[17]ASSISTING ANALYSES'!$D$26</f>
        <v>15.185185185185183</v>
      </c>
      <c r="H40" s="424">
        <f>SUM(B40:G40)</f>
        <v>7558.1481481481478</v>
      </c>
      <c r="I40" s="406"/>
      <c r="J40" s="407"/>
      <c r="K40" s="408"/>
      <c r="L40" s="447" t="s">
        <v>526</v>
      </c>
      <c r="M40" s="430"/>
      <c r="N40" s="430"/>
      <c r="O40" s="430"/>
      <c r="P40" s="430"/>
      <c r="Q40" s="430"/>
      <c r="R40" s="430"/>
      <c r="S40" s="433"/>
      <c r="W40" s="1261" t="s">
        <v>529</v>
      </c>
      <c r="X40" s="457" t="s">
        <v>162</v>
      </c>
      <c r="Y40" s="458"/>
      <c r="Z40" s="459"/>
      <c r="AA40" s="460">
        <f t="shared" ref="AA40:AA47" si="4">Y40+Z40</f>
        <v>0</v>
      </c>
    </row>
    <row r="41" spans="1:27" ht="24.95" customHeight="1">
      <c r="A41" s="418" t="s">
        <v>153</v>
      </c>
      <c r="B41" s="429">
        <v>2500</v>
      </c>
      <c r="C41" s="430">
        <f>'[17]ASSISTING ANALYSES'!$H$11</f>
        <v>972.22222222222217</v>
      </c>
      <c r="D41" s="429">
        <f>'[17]ASSISTING ANALYSES'!$N$16</f>
        <v>208.33333333333331</v>
      </c>
      <c r="E41" s="429">
        <f>'[17]ASSISTING ANALYSES'!$H$31</f>
        <v>232.77777777777777</v>
      </c>
      <c r="F41" s="429">
        <f>'[17]ASSISTING ANALYSES'!$N$8</f>
        <v>101.85185185185185</v>
      </c>
      <c r="G41" s="429">
        <f>'[17]ASSISTING ANALYSES'!$D$26</f>
        <v>15.185185185185183</v>
      </c>
      <c r="H41" s="431">
        <f>SUM(B41:G41)</f>
        <v>4030.3703703703704</v>
      </c>
      <c r="I41" s="406"/>
      <c r="J41" s="407"/>
      <c r="K41" s="408"/>
      <c r="L41" s="418" t="s">
        <v>153</v>
      </c>
      <c r="M41" s="430">
        <v>500</v>
      </c>
      <c r="N41" s="430"/>
      <c r="O41" s="430"/>
      <c r="P41" s="430"/>
      <c r="Q41" s="430"/>
      <c r="R41" s="430"/>
      <c r="S41" s="433"/>
      <c r="W41" s="1262"/>
      <c r="X41" s="457" t="s">
        <v>163</v>
      </c>
      <c r="Y41" s="458">
        <v>1</v>
      </c>
      <c r="Z41" s="459"/>
      <c r="AA41" s="460">
        <f t="shared" si="4"/>
        <v>1</v>
      </c>
    </row>
    <row r="42" spans="1:27" ht="24.95" customHeight="1">
      <c r="A42" s="418" t="s">
        <v>154</v>
      </c>
      <c r="B42" s="429"/>
      <c r="C42" s="430"/>
      <c r="D42" s="430"/>
      <c r="E42" s="430"/>
      <c r="F42" s="430"/>
      <c r="G42" s="430"/>
      <c r="H42" s="433"/>
      <c r="I42" s="406"/>
      <c r="J42" s="407"/>
      <c r="K42" s="408"/>
      <c r="L42" s="418" t="s">
        <v>154</v>
      </c>
      <c r="M42" s="430">
        <v>3700</v>
      </c>
      <c r="N42" s="430">
        <v>1000</v>
      </c>
      <c r="O42" s="430" t="s">
        <v>109</v>
      </c>
      <c r="P42" s="430">
        <f>'[17]ASSISTING ANALYSES'!$H$32</f>
        <v>62.5</v>
      </c>
      <c r="Q42" s="430" t="s">
        <v>109</v>
      </c>
      <c r="R42" s="430" t="s">
        <v>109</v>
      </c>
      <c r="S42" s="433">
        <f>SUM(M42:R42)</f>
        <v>4762.5</v>
      </c>
      <c r="W42" s="1262"/>
      <c r="X42" s="457" t="s">
        <v>530</v>
      </c>
      <c r="Y42" s="458">
        <v>1</v>
      </c>
      <c r="Z42" s="459"/>
      <c r="AA42" s="460">
        <f t="shared" si="4"/>
        <v>1</v>
      </c>
    </row>
    <row r="43" spans="1:27" ht="24.95" customHeight="1">
      <c r="A43" s="418" t="s">
        <v>528</v>
      </c>
      <c r="B43" s="429">
        <v>2700</v>
      </c>
      <c r="C43" s="430">
        <v>1000</v>
      </c>
      <c r="D43" s="430" t="s">
        <v>109</v>
      </c>
      <c r="E43" s="430" t="s">
        <v>109</v>
      </c>
      <c r="F43" s="430" t="s">
        <v>109</v>
      </c>
      <c r="G43" s="430" t="s">
        <v>109</v>
      </c>
      <c r="H43" s="433">
        <f>SUM(B43:G43)</f>
        <v>3700</v>
      </c>
      <c r="I43" s="406"/>
      <c r="J43" s="407"/>
      <c r="K43" s="408"/>
      <c r="L43" s="418" t="s">
        <v>528</v>
      </c>
      <c r="M43" s="430"/>
      <c r="N43" s="430"/>
      <c r="O43" s="430"/>
      <c r="P43" s="430"/>
      <c r="Q43" s="430"/>
      <c r="R43" s="430"/>
      <c r="S43" s="433"/>
      <c r="W43" s="1262"/>
      <c r="X43" s="457" t="s">
        <v>531</v>
      </c>
      <c r="Y43" s="458">
        <v>1</v>
      </c>
      <c r="Z43" s="459">
        <v>1</v>
      </c>
      <c r="AA43" s="460">
        <f t="shared" si="4"/>
        <v>2</v>
      </c>
    </row>
    <row r="44" spans="1:27" ht="24.95" customHeight="1">
      <c r="A44" s="418" t="s">
        <v>147</v>
      </c>
      <c r="B44" s="429">
        <v>3000</v>
      </c>
      <c r="C44" s="430">
        <v>1000</v>
      </c>
      <c r="D44" s="430" t="s">
        <v>109</v>
      </c>
      <c r="E44" s="430" t="s">
        <v>109</v>
      </c>
      <c r="F44" s="430" t="s">
        <v>109</v>
      </c>
      <c r="G44" s="430" t="s">
        <v>109</v>
      </c>
      <c r="H44" s="433">
        <f>SUM(B44:G44)</f>
        <v>4000</v>
      </c>
      <c r="I44" s="406"/>
      <c r="J44" s="407"/>
      <c r="K44" s="408"/>
      <c r="L44" s="418" t="s">
        <v>147</v>
      </c>
      <c r="M44" s="430"/>
      <c r="N44" s="430"/>
      <c r="O44" s="430"/>
      <c r="P44" s="430"/>
      <c r="Q44" s="430"/>
      <c r="R44" s="430"/>
      <c r="S44" s="433"/>
      <c r="W44" s="1262"/>
      <c r="X44" s="457" t="s">
        <v>532</v>
      </c>
      <c r="Y44" s="458"/>
      <c r="Z44" s="459">
        <v>2</v>
      </c>
      <c r="AA44" s="460">
        <f t="shared" si="4"/>
        <v>2</v>
      </c>
    </row>
    <row r="45" spans="1:27" ht="24.95" customHeight="1">
      <c r="A45" s="418" t="s">
        <v>158</v>
      </c>
      <c r="B45" s="429"/>
      <c r="C45" s="430"/>
      <c r="D45" s="429"/>
      <c r="E45" s="429"/>
      <c r="F45" s="430"/>
      <c r="G45" s="429"/>
      <c r="H45" s="433"/>
      <c r="I45" s="406"/>
      <c r="J45" s="407"/>
      <c r="K45" s="408"/>
      <c r="L45" s="418" t="s">
        <v>158</v>
      </c>
      <c r="M45" s="430">
        <v>400</v>
      </c>
      <c r="N45" s="430">
        <v>100</v>
      </c>
      <c r="O45" s="430" t="s">
        <v>109</v>
      </c>
      <c r="P45" s="430">
        <f>'[17]ASSISTING ANALYSES'!$H$32</f>
        <v>62.5</v>
      </c>
      <c r="Q45" s="430" t="s">
        <v>109</v>
      </c>
      <c r="R45" s="430" t="s">
        <v>109</v>
      </c>
      <c r="S45" s="433">
        <f>SUM(M45:R45)</f>
        <v>562.5</v>
      </c>
      <c r="W45" s="1262"/>
      <c r="X45" s="457" t="s">
        <v>533</v>
      </c>
      <c r="Y45" s="461">
        <v>3</v>
      </c>
      <c r="Z45" s="462">
        <v>2</v>
      </c>
      <c r="AA45" s="460">
        <f t="shared" si="4"/>
        <v>5</v>
      </c>
    </row>
    <row r="46" spans="1:27" ht="24.95" customHeight="1">
      <c r="A46" s="418" t="s">
        <v>523</v>
      </c>
      <c r="B46" s="429"/>
      <c r="C46" s="430"/>
      <c r="D46" s="430"/>
      <c r="E46" s="430"/>
      <c r="F46" s="430"/>
      <c r="G46" s="430"/>
      <c r="H46" s="433"/>
      <c r="I46" s="406"/>
      <c r="J46" s="407"/>
      <c r="K46" s="408"/>
      <c r="L46" s="418" t="s">
        <v>523</v>
      </c>
      <c r="M46" s="430">
        <v>150</v>
      </c>
      <c r="N46" s="430">
        <v>30</v>
      </c>
      <c r="O46" s="430" t="s">
        <v>109</v>
      </c>
      <c r="P46" s="430">
        <f>'[17]ASSISTING ANALYSES'!$H$32</f>
        <v>62.5</v>
      </c>
      <c r="Q46" s="430" t="s">
        <v>109</v>
      </c>
      <c r="R46" s="430">
        <f>'[17]ASSISTING ANALYSES'!$D$11</f>
        <v>36.388888888888886</v>
      </c>
      <c r="S46" s="433">
        <f>SUM(M46:R46)</f>
        <v>278.88888888888891</v>
      </c>
      <c r="W46" s="1262"/>
      <c r="X46" s="457" t="s">
        <v>164</v>
      </c>
      <c r="Y46" s="458">
        <v>2</v>
      </c>
      <c r="Z46" s="459"/>
      <c r="AA46" s="460">
        <f t="shared" si="4"/>
        <v>2</v>
      </c>
    </row>
    <row r="47" spans="1:27" ht="24.95" customHeight="1" thickBot="1">
      <c r="A47" s="446"/>
      <c r="B47" s="446"/>
      <c r="C47" s="446"/>
      <c r="D47" s="446"/>
      <c r="E47" s="446"/>
      <c r="F47" s="446"/>
      <c r="G47" s="446"/>
      <c r="H47" s="446"/>
      <c r="I47" s="406"/>
      <c r="J47" s="407"/>
      <c r="K47" s="408"/>
      <c r="L47" s="446"/>
      <c r="M47" s="446"/>
      <c r="N47" s="446"/>
      <c r="O47" s="446"/>
      <c r="P47" s="446"/>
      <c r="Q47" s="446"/>
      <c r="R47" s="446"/>
      <c r="S47" s="446"/>
      <c r="W47" s="1263"/>
      <c r="X47" s="463" t="s">
        <v>165</v>
      </c>
      <c r="Y47" s="464"/>
      <c r="Z47" s="465">
        <v>3</v>
      </c>
      <c r="AA47" s="460">
        <f t="shared" si="4"/>
        <v>3</v>
      </c>
    </row>
    <row r="48" spans="1:27" ht="24.95" customHeight="1" thickBot="1">
      <c r="A48" s="1264" t="s">
        <v>534</v>
      </c>
      <c r="B48" s="1265"/>
      <c r="C48" s="1265"/>
      <c r="D48" s="1265"/>
      <c r="E48" s="1265"/>
      <c r="F48" s="1265"/>
      <c r="G48" s="1265"/>
      <c r="H48" s="1266"/>
      <c r="I48" s="406"/>
      <c r="J48" s="407"/>
      <c r="K48" s="408"/>
      <c r="L48" s="1267" t="s">
        <v>534</v>
      </c>
      <c r="M48" s="1268"/>
      <c r="N48" s="1268"/>
      <c r="O48" s="1268"/>
      <c r="P48" s="1268"/>
      <c r="Q48" s="1268"/>
      <c r="R48" s="1268"/>
      <c r="S48" s="1269"/>
      <c r="X48" s="443" t="s">
        <v>120</v>
      </c>
      <c r="Y48" s="444">
        <f>SUM(Y40:Y47)</f>
        <v>8</v>
      </c>
      <c r="Z48" s="466">
        <f>SUM(Z40:Z47)</f>
        <v>8</v>
      </c>
      <c r="AA48" s="445">
        <f>SUM(AA40:AA47)</f>
        <v>16</v>
      </c>
    </row>
    <row r="49" spans="1:27" ht="15.75">
      <c r="A49" s="1274" t="s">
        <v>504</v>
      </c>
      <c r="B49" s="409" t="s">
        <v>505</v>
      </c>
      <c r="C49" s="409" t="s">
        <v>506</v>
      </c>
      <c r="D49" s="409" t="s">
        <v>281</v>
      </c>
      <c r="E49" s="409" t="s">
        <v>507</v>
      </c>
      <c r="F49" s="409" t="s">
        <v>508</v>
      </c>
      <c r="G49" s="409" t="s">
        <v>509</v>
      </c>
      <c r="H49" s="410" t="s">
        <v>298</v>
      </c>
      <c r="I49" s="406"/>
      <c r="J49" s="407"/>
      <c r="K49" s="408"/>
      <c r="L49" s="1274" t="s">
        <v>510</v>
      </c>
      <c r="M49" s="409" t="s">
        <v>505</v>
      </c>
      <c r="N49" s="409" t="s">
        <v>506</v>
      </c>
      <c r="O49" s="409" t="s">
        <v>281</v>
      </c>
      <c r="P49" s="409" t="s">
        <v>507</v>
      </c>
      <c r="Q49" s="409" t="s">
        <v>508</v>
      </c>
      <c r="R49" s="409" t="s">
        <v>509</v>
      </c>
      <c r="S49" s="410" t="s">
        <v>298</v>
      </c>
      <c r="W49" s="1261" t="s">
        <v>535</v>
      </c>
      <c r="X49" s="457" t="s">
        <v>536</v>
      </c>
      <c r="Y49" s="458">
        <v>15</v>
      </c>
      <c r="Z49" s="459"/>
      <c r="AA49" s="460">
        <f>Y49+Z49</f>
        <v>15</v>
      </c>
    </row>
    <row r="50" spans="1:27" ht="16.5" thickBot="1">
      <c r="A50" s="1275"/>
      <c r="B50" s="415" t="s">
        <v>102</v>
      </c>
      <c r="C50" s="415" t="s">
        <v>511</v>
      </c>
      <c r="D50" s="415" t="s">
        <v>102</v>
      </c>
      <c r="E50" s="415" t="s">
        <v>102</v>
      </c>
      <c r="F50" s="415" t="s">
        <v>102</v>
      </c>
      <c r="G50" s="415" t="s">
        <v>102</v>
      </c>
      <c r="H50" s="416" t="s">
        <v>102</v>
      </c>
      <c r="I50" s="406"/>
      <c r="J50" s="407"/>
      <c r="K50" s="408"/>
      <c r="L50" s="1275"/>
      <c r="M50" s="415" t="s">
        <v>102</v>
      </c>
      <c r="N50" s="415" t="s">
        <v>511</v>
      </c>
      <c r="O50" s="415" t="s">
        <v>102</v>
      </c>
      <c r="P50" s="415" t="s">
        <v>102</v>
      </c>
      <c r="Q50" s="415" t="s">
        <v>102</v>
      </c>
      <c r="R50" s="415" t="s">
        <v>102</v>
      </c>
      <c r="S50" s="416" t="s">
        <v>102</v>
      </c>
      <c r="W50" s="1262"/>
      <c r="X50" s="457" t="s">
        <v>537</v>
      </c>
      <c r="Y50" s="458">
        <v>10</v>
      </c>
      <c r="Z50" s="459"/>
      <c r="AA50" s="460">
        <f>Y50+Z50</f>
        <v>10</v>
      </c>
    </row>
    <row r="51" spans="1:27" ht="24.95" customHeight="1">
      <c r="A51" s="451" t="s">
        <v>162</v>
      </c>
      <c r="B51" s="423"/>
      <c r="C51" s="423"/>
      <c r="D51" s="423"/>
      <c r="E51" s="423"/>
      <c r="F51" s="423"/>
      <c r="G51" s="423"/>
      <c r="H51" s="467"/>
      <c r="I51" s="406"/>
      <c r="J51" s="407"/>
      <c r="K51" s="408"/>
      <c r="L51" s="425" t="s">
        <v>162</v>
      </c>
      <c r="M51" s="426"/>
      <c r="N51" s="426"/>
      <c r="O51" s="426"/>
      <c r="P51" s="426"/>
      <c r="Q51" s="426"/>
      <c r="R51" s="426"/>
      <c r="S51" s="427"/>
      <c r="W51" s="1262"/>
      <c r="X51" s="457" t="s">
        <v>538</v>
      </c>
      <c r="Y51" s="458">
        <v>10</v>
      </c>
      <c r="Z51" s="459"/>
      <c r="AA51" s="460">
        <f>Y51+Z51</f>
        <v>10</v>
      </c>
    </row>
    <row r="52" spans="1:27" ht="24.95" customHeight="1">
      <c r="A52" s="432" t="s">
        <v>163</v>
      </c>
      <c r="B52" s="430">
        <v>2000</v>
      </c>
      <c r="C52" s="430">
        <f>'[17]ASSISTING ANALYSES'!$H$7</f>
        <v>115.74074074074075</v>
      </c>
      <c r="D52" s="430">
        <f>'[17]ASSISTING ANALYSES'!$N$16</f>
        <v>208.33333333333331</v>
      </c>
      <c r="E52" s="430">
        <f>'[17]ASSISTING ANALYSES'!$H$31</f>
        <v>232.77777777777777</v>
      </c>
      <c r="F52" s="430">
        <f>'[17]ASSISTING ANALYSES'!$N$8</f>
        <v>101.85185185185185</v>
      </c>
      <c r="G52" s="430">
        <f>'[17]ASSISTING ANALYSES'!$D$26</f>
        <v>15.185185185185183</v>
      </c>
      <c r="H52" s="433">
        <f>SUM(B52:G52)</f>
        <v>2673.8888888888891</v>
      </c>
      <c r="I52" s="406"/>
      <c r="J52" s="407"/>
      <c r="K52" s="408"/>
      <c r="L52" s="432" t="s">
        <v>163</v>
      </c>
      <c r="M52" s="430"/>
      <c r="N52" s="430"/>
      <c r="O52" s="430"/>
      <c r="P52" s="430"/>
      <c r="Q52" s="430"/>
      <c r="R52" s="430"/>
      <c r="S52" s="433"/>
      <c r="W52" s="1262"/>
      <c r="X52" s="457" t="s">
        <v>539</v>
      </c>
      <c r="Y52" s="458"/>
      <c r="Z52" s="459"/>
      <c r="AA52" s="460">
        <f>Y52+Z52</f>
        <v>0</v>
      </c>
    </row>
    <row r="53" spans="1:27" ht="24.95" customHeight="1" thickBot="1">
      <c r="A53" s="432" t="s">
        <v>530</v>
      </c>
      <c r="B53" s="430"/>
      <c r="C53" s="430"/>
      <c r="D53" s="430"/>
      <c r="E53" s="430"/>
      <c r="F53" s="430"/>
      <c r="G53" s="430"/>
      <c r="H53" s="433"/>
      <c r="I53" s="406"/>
      <c r="J53" s="407"/>
      <c r="K53" s="408"/>
      <c r="L53" s="432" t="s">
        <v>530</v>
      </c>
      <c r="M53" s="430">
        <v>250</v>
      </c>
      <c r="N53" s="430">
        <f>'[17]ASSISTING ANALYSES'!$H$7</f>
        <v>115.74074074074075</v>
      </c>
      <c r="O53" s="430" t="s">
        <v>109</v>
      </c>
      <c r="P53" s="430">
        <f>'[17]ASSISTING ANALYSES'!$H$32</f>
        <v>62.5</v>
      </c>
      <c r="Q53" s="430" t="s">
        <v>109</v>
      </c>
      <c r="R53" s="430">
        <f>'[17]ASSISTING ANALYSES'!$D$11</f>
        <v>36.388888888888886</v>
      </c>
      <c r="S53" s="433">
        <f t="shared" ref="S53:S58" si="5">SUM(M53:R53)</f>
        <v>464.62962962962968</v>
      </c>
      <c r="W53" s="1263"/>
      <c r="X53" s="457" t="s">
        <v>540</v>
      </c>
      <c r="Y53" s="458"/>
      <c r="Z53" s="459">
        <v>10</v>
      </c>
      <c r="AA53" s="460">
        <f>Y53+Z53</f>
        <v>10</v>
      </c>
    </row>
    <row r="54" spans="1:27" ht="24.95" customHeight="1" thickBot="1">
      <c r="A54" s="432" t="s">
        <v>541</v>
      </c>
      <c r="B54" s="430">
        <v>3000</v>
      </c>
      <c r="C54" s="430">
        <f>'[17]ASSISTING ANALYSES'!$H$7</f>
        <v>115.74074074074075</v>
      </c>
      <c r="D54" s="430">
        <f>'[17]ASSISTING ANALYSES'!$N$16</f>
        <v>208.33333333333331</v>
      </c>
      <c r="E54" s="430">
        <f>'[17]ASSISTING ANALYSES'!$H$31</f>
        <v>232.77777777777777</v>
      </c>
      <c r="F54" s="430">
        <f>'[17]ASSISTING ANALYSES'!$N$8</f>
        <v>101.85185185185185</v>
      </c>
      <c r="G54" s="430">
        <f>'[17]ASSISTING ANALYSES'!$D$26</f>
        <v>15.185185185185183</v>
      </c>
      <c r="H54" s="433">
        <f>SUM(B54:G54)</f>
        <v>3673.8888888888891</v>
      </c>
      <c r="I54" s="406"/>
      <c r="J54" s="407"/>
      <c r="K54" s="408"/>
      <c r="L54" s="432" t="s">
        <v>541</v>
      </c>
      <c r="M54" s="430">
        <v>500</v>
      </c>
      <c r="N54" s="430">
        <f>'[17]ASSISTING ANALYSES'!$H$7</f>
        <v>115.74074074074075</v>
      </c>
      <c r="O54" s="430" t="s">
        <v>109</v>
      </c>
      <c r="P54" s="430">
        <f>'[17]ASSISTING ANALYSES'!$H$32</f>
        <v>62.5</v>
      </c>
      <c r="Q54" s="430" t="s">
        <v>109</v>
      </c>
      <c r="R54" s="430">
        <f>'[17]ASSISTING ANALYSES'!$D$11</f>
        <v>36.388888888888886</v>
      </c>
      <c r="S54" s="433">
        <f t="shared" si="5"/>
        <v>714.62962962962968</v>
      </c>
      <c r="W54" s="468"/>
      <c r="X54" s="469" t="s">
        <v>120</v>
      </c>
      <c r="Y54" s="470">
        <f>SUM(Y49:Y53)</f>
        <v>35</v>
      </c>
      <c r="Z54" s="470">
        <f>SUM(Z49:Z53)</f>
        <v>10</v>
      </c>
      <c r="AA54" s="471">
        <f>SUM(AA49:AA53)</f>
        <v>45</v>
      </c>
    </row>
    <row r="55" spans="1:27" ht="24.95" customHeight="1">
      <c r="A55" s="432" t="s">
        <v>532</v>
      </c>
      <c r="B55" s="430"/>
      <c r="C55" s="430"/>
      <c r="D55" s="430"/>
      <c r="E55" s="430"/>
      <c r="F55" s="430"/>
      <c r="G55" s="430"/>
      <c r="H55" s="433"/>
      <c r="I55" s="406"/>
      <c r="J55" s="407"/>
      <c r="K55" s="408"/>
      <c r="L55" s="432" t="s">
        <v>532</v>
      </c>
      <c r="M55" s="430">
        <v>500</v>
      </c>
      <c r="N55" s="430">
        <f>'[17]ASSISTING ANALYSES'!$H$7</f>
        <v>115.74074074074075</v>
      </c>
      <c r="O55" s="430" t="s">
        <v>109</v>
      </c>
      <c r="P55" s="430">
        <f>'[17]ASSISTING ANALYSES'!$H$32</f>
        <v>62.5</v>
      </c>
      <c r="Q55" s="430" t="s">
        <v>109</v>
      </c>
      <c r="R55" s="430">
        <f>'[17]ASSISTING ANALYSES'!$D$11</f>
        <v>36.388888888888886</v>
      </c>
      <c r="S55" s="433">
        <f t="shared" si="5"/>
        <v>714.62962962962968</v>
      </c>
      <c r="W55" s="1261" t="s">
        <v>542</v>
      </c>
      <c r="X55" s="457" t="s">
        <v>536</v>
      </c>
      <c r="Y55" s="458"/>
      <c r="Z55" s="459"/>
      <c r="AA55" s="460"/>
    </row>
    <row r="56" spans="1:27" ht="24.95" customHeight="1">
      <c r="A56" s="432" t="s">
        <v>533</v>
      </c>
      <c r="B56" s="430">
        <v>2500</v>
      </c>
      <c r="C56" s="430">
        <f>'[17]ASSISTING ANALYSES'!$H$7</f>
        <v>115.74074074074075</v>
      </c>
      <c r="D56" s="430">
        <f>'[17]ASSISTING ANALYSES'!$N$16</f>
        <v>208.33333333333331</v>
      </c>
      <c r="E56" s="430">
        <f>'[17]ASSISTING ANALYSES'!$H$31</f>
        <v>232.77777777777777</v>
      </c>
      <c r="F56" s="430">
        <f>'[17]ASSISTING ANALYSES'!$N$8</f>
        <v>101.85185185185185</v>
      </c>
      <c r="G56" s="430">
        <f>'[17]ASSISTING ANALYSES'!$D$26</f>
        <v>15.185185185185183</v>
      </c>
      <c r="H56" s="433">
        <f>SUM(B56:G56)</f>
        <v>3173.8888888888891</v>
      </c>
      <c r="I56" s="406"/>
      <c r="J56" s="472"/>
      <c r="K56" s="473"/>
      <c r="L56" s="432" t="s">
        <v>533</v>
      </c>
      <c r="M56" s="430">
        <v>400</v>
      </c>
      <c r="N56" s="430">
        <f>'[17]ASSISTING ANALYSES'!$H$7</f>
        <v>115.74074074074075</v>
      </c>
      <c r="O56" s="430" t="s">
        <v>109</v>
      </c>
      <c r="P56" s="430">
        <f>'[17]ASSISTING ANALYSES'!$H$32</f>
        <v>62.5</v>
      </c>
      <c r="Q56" s="430" t="s">
        <v>109</v>
      </c>
      <c r="R56" s="430">
        <f>'[17]ASSISTING ANALYSES'!$D$11</f>
        <v>36.388888888888886</v>
      </c>
      <c r="S56" s="433">
        <f t="shared" si="5"/>
        <v>614.62962962962968</v>
      </c>
      <c r="W56" s="1262"/>
      <c r="X56" s="457" t="s">
        <v>537</v>
      </c>
      <c r="Y56" s="458"/>
      <c r="Z56" s="459"/>
      <c r="AA56" s="460"/>
    </row>
    <row r="57" spans="1:27" ht="24.95" customHeight="1">
      <c r="A57" s="432" t="s">
        <v>543</v>
      </c>
      <c r="B57" s="430">
        <v>2500</v>
      </c>
      <c r="C57" s="430">
        <f>'[17]ASSISTING ANALYSES'!$H$7</f>
        <v>115.74074074074075</v>
      </c>
      <c r="D57" s="430">
        <f>'[17]ASSISTING ANALYSES'!$N$16</f>
        <v>208.33333333333331</v>
      </c>
      <c r="E57" s="430">
        <f>'[17]ASSISTING ANALYSES'!$H$31</f>
        <v>232.77777777777777</v>
      </c>
      <c r="F57" s="430">
        <f>'[17]ASSISTING ANALYSES'!$N$8</f>
        <v>101.85185185185185</v>
      </c>
      <c r="G57" s="430">
        <f>'[17]ASSISTING ANALYSES'!$D$26</f>
        <v>15.185185185185183</v>
      </c>
      <c r="H57" s="433">
        <f>SUM(B57:G57)</f>
        <v>3173.8888888888891</v>
      </c>
      <c r="I57" s="406"/>
      <c r="J57" s="472"/>
      <c r="K57" s="473"/>
      <c r="L57" s="432" t="s">
        <v>543</v>
      </c>
      <c r="M57" s="430">
        <v>400</v>
      </c>
      <c r="N57" s="430">
        <f>'[17]ASSISTING ANALYSES'!$H$7</f>
        <v>115.74074074074075</v>
      </c>
      <c r="O57" s="430" t="s">
        <v>109</v>
      </c>
      <c r="P57" s="430">
        <f>'[17]ASSISTING ANALYSES'!$H$32</f>
        <v>62.5</v>
      </c>
      <c r="Q57" s="430" t="s">
        <v>109</v>
      </c>
      <c r="R57" s="430">
        <f>'[17]ASSISTING ANALYSES'!$D$11</f>
        <v>36.388888888888886</v>
      </c>
      <c r="S57" s="433">
        <f t="shared" si="5"/>
        <v>614.62962962962968</v>
      </c>
      <c r="W57" s="1262"/>
      <c r="X57" s="457" t="s">
        <v>538</v>
      </c>
      <c r="Y57" s="458"/>
      <c r="Z57" s="459"/>
      <c r="AA57" s="460"/>
    </row>
    <row r="58" spans="1:27" ht="24.95" customHeight="1" thickBot="1">
      <c r="A58" s="441" t="s">
        <v>165</v>
      </c>
      <c r="B58" s="439"/>
      <c r="C58" s="439"/>
      <c r="D58" s="439"/>
      <c r="E58" s="439"/>
      <c r="F58" s="439"/>
      <c r="G58" s="439"/>
      <c r="H58" s="442"/>
      <c r="I58" s="406"/>
      <c r="J58" s="472"/>
      <c r="K58" s="473"/>
      <c r="L58" s="441" t="s">
        <v>165</v>
      </c>
      <c r="M58" s="439">
        <v>250</v>
      </c>
      <c r="N58" s="439">
        <f>'[17]ASSISTING ANALYSES'!$H$7</f>
        <v>115.74074074074075</v>
      </c>
      <c r="O58" s="439" t="s">
        <v>109</v>
      </c>
      <c r="P58" s="439">
        <f>'[17]ASSISTING ANALYSES'!$H$32</f>
        <v>62.5</v>
      </c>
      <c r="Q58" s="439" t="s">
        <v>109</v>
      </c>
      <c r="R58" s="439">
        <f>'[17]ASSISTING ANALYSES'!$D$11</f>
        <v>36.388888888888886</v>
      </c>
      <c r="S58" s="442">
        <f t="shared" si="5"/>
        <v>464.62962962962968</v>
      </c>
      <c r="W58" s="1262"/>
      <c r="X58" s="457" t="s">
        <v>539</v>
      </c>
      <c r="Y58" s="458"/>
      <c r="Z58" s="459"/>
      <c r="AA58" s="460"/>
    </row>
    <row r="59" spans="1:27" ht="16.5" thickBot="1">
      <c r="J59" s="474"/>
      <c r="W59" s="1263"/>
      <c r="X59" s="457" t="s">
        <v>540</v>
      </c>
      <c r="Y59" s="458"/>
      <c r="Z59" s="459"/>
      <c r="AA59" s="460"/>
    </row>
    <row r="60" spans="1:27" ht="16.5" thickBot="1">
      <c r="J60" s="474"/>
      <c r="W60" s="468"/>
      <c r="X60" s="469" t="s">
        <v>120</v>
      </c>
      <c r="Y60" s="470">
        <f>SUM(Y55:Y59)</f>
        <v>0</v>
      </c>
      <c r="Z60" s="470">
        <f>SUM(Z55:Z59)</f>
        <v>0</v>
      </c>
      <c r="AA60" s="471">
        <f>SUM(AA55:AA59)</f>
        <v>0</v>
      </c>
    </row>
    <row r="61" spans="1:27" ht="18.75" thickBot="1">
      <c r="A61" s="1264" t="s">
        <v>544</v>
      </c>
      <c r="B61" s="1265"/>
      <c r="C61" s="1265"/>
      <c r="D61" s="1265"/>
      <c r="E61" s="1265"/>
      <c r="F61" s="1265"/>
      <c r="G61" s="1265"/>
      <c r="H61" s="1266"/>
      <c r="I61" s="406"/>
      <c r="J61" s="407"/>
      <c r="K61" s="408"/>
      <c r="L61" s="1267" t="s">
        <v>544</v>
      </c>
      <c r="M61" s="1268"/>
      <c r="N61" s="1268"/>
      <c r="O61" s="1268"/>
      <c r="P61" s="1268"/>
      <c r="Q61" s="1268"/>
      <c r="R61" s="1268"/>
      <c r="S61" s="1269"/>
      <c r="W61" s="468"/>
      <c r="X61" s="475" t="s">
        <v>110</v>
      </c>
      <c r="Y61" s="470">
        <f>Y20+Y31+Y48+Y54+Y60+Y39</f>
        <v>53</v>
      </c>
      <c r="Z61" s="470">
        <f>Z20+Z31+Z48+Z54+Z60+Z39</f>
        <v>33</v>
      </c>
      <c r="AA61" s="470">
        <f>AA20+AA31+AA48+AA54+AA60+AA39</f>
        <v>80.75</v>
      </c>
    </row>
    <row r="62" spans="1:27" ht="15.75">
      <c r="A62" s="1270" t="s">
        <v>504</v>
      </c>
      <c r="B62" s="409" t="s">
        <v>505</v>
      </c>
      <c r="C62" s="409" t="s">
        <v>506</v>
      </c>
      <c r="D62" s="409" t="s">
        <v>281</v>
      </c>
      <c r="E62" s="409" t="s">
        <v>507</v>
      </c>
      <c r="F62" s="409" t="s">
        <v>508</v>
      </c>
      <c r="G62" s="409" t="s">
        <v>509</v>
      </c>
      <c r="H62" s="410" t="s">
        <v>298</v>
      </c>
      <c r="I62" s="406"/>
      <c r="J62" s="407"/>
      <c r="K62" s="408"/>
      <c r="L62" s="1272" t="s">
        <v>510</v>
      </c>
      <c r="M62" s="409" t="s">
        <v>505</v>
      </c>
      <c r="N62" s="409" t="s">
        <v>506</v>
      </c>
      <c r="O62" s="409" t="s">
        <v>281</v>
      </c>
      <c r="P62" s="409" t="s">
        <v>507</v>
      </c>
      <c r="Q62" s="409" t="s">
        <v>508</v>
      </c>
      <c r="R62" s="409" t="s">
        <v>509</v>
      </c>
      <c r="S62" s="410" t="s">
        <v>298</v>
      </c>
      <c r="W62" s="468"/>
      <c r="X62" s="476"/>
      <c r="Y62" s="477"/>
      <c r="Z62" s="477"/>
      <c r="AA62" s="477"/>
    </row>
    <row r="63" spans="1:27" ht="15.75" customHeight="1" thickBot="1">
      <c r="A63" s="1271"/>
      <c r="B63" s="449" t="s">
        <v>102</v>
      </c>
      <c r="C63" s="449" t="s">
        <v>511</v>
      </c>
      <c r="D63" s="449" t="s">
        <v>102</v>
      </c>
      <c r="E63" s="449" t="s">
        <v>102</v>
      </c>
      <c r="F63" s="449" t="s">
        <v>102</v>
      </c>
      <c r="G63" s="449" t="s">
        <v>102</v>
      </c>
      <c r="H63" s="450" t="s">
        <v>102</v>
      </c>
      <c r="I63" s="406"/>
      <c r="J63" s="407"/>
      <c r="K63" s="408"/>
      <c r="L63" s="1273"/>
      <c r="M63" s="415" t="s">
        <v>102</v>
      </c>
      <c r="N63" s="415" t="s">
        <v>511</v>
      </c>
      <c r="O63" s="415" t="s">
        <v>102</v>
      </c>
      <c r="P63" s="415" t="s">
        <v>102</v>
      </c>
      <c r="Q63" s="415" t="s">
        <v>102</v>
      </c>
      <c r="R63" s="415" t="s">
        <v>102</v>
      </c>
      <c r="S63" s="416" t="s">
        <v>102</v>
      </c>
    </row>
    <row r="64" spans="1:27">
      <c r="A64" s="425" t="s">
        <v>536</v>
      </c>
      <c r="B64" s="478"/>
      <c r="C64" s="426">
        <f>'[17]ASSISTING ANALYSES'!$H$7</f>
        <v>115.74074074074075</v>
      </c>
      <c r="D64" s="478">
        <f>'[17]ASSISTING ANALYSES'!$N$16</f>
        <v>208.33333333333331</v>
      </c>
      <c r="E64" s="478">
        <f>'[17]ASSISTING ANALYSES'!$H$31</f>
        <v>232.77777777777777</v>
      </c>
      <c r="F64" s="478">
        <f>'[17]ASSISTING ANALYSES'!$N$8</f>
        <v>101.85185185185185</v>
      </c>
      <c r="G64" s="478">
        <f>'[17]ASSISTING ANALYSES'!$D$26</f>
        <v>15.185185185185183</v>
      </c>
      <c r="H64" s="479">
        <f>SUM(B64:G64)</f>
        <v>673.88888888888891</v>
      </c>
      <c r="I64" s="406"/>
      <c r="J64" s="407"/>
      <c r="K64" s="408"/>
      <c r="L64" s="451" t="s">
        <v>536</v>
      </c>
      <c r="M64" s="423"/>
      <c r="N64" s="423"/>
      <c r="O64" s="423"/>
      <c r="P64" s="423"/>
      <c r="Q64" s="423"/>
      <c r="R64" s="423"/>
      <c r="S64" s="467">
        <f>SUM(M64:R64)</f>
        <v>0</v>
      </c>
      <c r="W64" s="480"/>
    </row>
    <row r="65" spans="1:19">
      <c r="A65" s="432" t="s">
        <v>545</v>
      </c>
      <c r="B65" s="429"/>
      <c r="C65" s="430">
        <f>'[17]ASSISTING ANALYSES'!$H$7</f>
        <v>115.74074074074075</v>
      </c>
      <c r="D65" s="429">
        <f>'[17]ASSISTING ANALYSES'!$N$16</f>
        <v>208.33333333333331</v>
      </c>
      <c r="E65" s="422">
        <f>'[17]ASSISTING ANALYSES'!$H$31</f>
        <v>232.77777777777777</v>
      </c>
      <c r="F65" s="422">
        <f>'[17]ASSISTING ANALYSES'!$N$8</f>
        <v>101.85185185185185</v>
      </c>
      <c r="G65" s="429">
        <f>'[17]ASSISTING ANALYSES'!$D$26</f>
        <v>15.185185185185183</v>
      </c>
      <c r="H65" s="431">
        <f>SUM(B65:G65)</f>
        <v>673.88888888888891</v>
      </c>
      <c r="I65" s="406"/>
      <c r="J65" s="407"/>
      <c r="K65" s="408"/>
      <c r="L65" s="432" t="s">
        <v>545</v>
      </c>
      <c r="M65" s="430"/>
      <c r="N65" s="430"/>
      <c r="O65" s="430"/>
      <c r="P65" s="430"/>
      <c r="Q65" s="430"/>
      <c r="R65" s="430"/>
      <c r="S65" s="433">
        <f>SUM(M65:R65)</f>
        <v>0</v>
      </c>
    </row>
    <row r="66" spans="1:19">
      <c r="A66" s="432" t="s">
        <v>546</v>
      </c>
      <c r="B66" s="429"/>
      <c r="C66" s="430">
        <f>'[17]ASSISTING ANALYSES'!$H$7</f>
        <v>115.74074074074075</v>
      </c>
      <c r="D66" s="429">
        <f>'[17]ASSISTING ANALYSES'!$N$16</f>
        <v>208.33333333333331</v>
      </c>
      <c r="E66" s="422">
        <f>'[17]ASSISTING ANALYSES'!$H$31</f>
        <v>232.77777777777777</v>
      </c>
      <c r="F66" s="422">
        <f>'[17]ASSISTING ANALYSES'!$N$8</f>
        <v>101.85185185185185</v>
      </c>
      <c r="G66" s="429">
        <f>'[17]ASSISTING ANALYSES'!$D$26</f>
        <v>15.185185185185183</v>
      </c>
      <c r="H66" s="431">
        <f>SUM(B66:G66)</f>
        <v>673.88888888888891</v>
      </c>
      <c r="I66" s="406"/>
      <c r="J66" s="407"/>
      <c r="K66" s="408"/>
      <c r="L66" s="432" t="s">
        <v>546</v>
      </c>
      <c r="M66" s="481"/>
      <c r="N66" s="430"/>
      <c r="O66" s="430"/>
      <c r="P66" s="430"/>
      <c r="Q66" s="430"/>
      <c r="R66" s="430"/>
      <c r="S66" s="433">
        <f>SUM(M66:R66)</f>
        <v>0</v>
      </c>
    </row>
    <row r="67" spans="1:19">
      <c r="A67" s="432" t="s">
        <v>539</v>
      </c>
      <c r="B67" s="429"/>
      <c r="C67" s="430">
        <f>'[17]ASSISTING ANALYSES'!$H$7</f>
        <v>115.74074074074075</v>
      </c>
      <c r="D67" s="429">
        <f>'[17]ASSISTING ANALYSES'!$N$16</f>
        <v>208.33333333333331</v>
      </c>
      <c r="E67" s="422">
        <f>'[17]ASSISTING ANALYSES'!$H$31</f>
        <v>232.77777777777777</v>
      </c>
      <c r="F67" s="422">
        <f>'[17]ASSISTING ANALYSES'!$N$8</f>
        <v>101.85185185185185</v>
      </c>
      <c r="G67" s="429">
        <f>'[17]ASSISTING ANALYSES'!$D$26</f>
        <v>15.185185185185183</v>
      </c>
      <c r="H67" s="431">
        <f>SUM(B67:G67)</f>
        <v>673.88888888888891</v>
      </c>
      <c r="I67" s="406"/>
      <c r="J67" s="407"/>
      <c r="K67" s="408"/>
      <c r="L67" s="432" t="s">
        <v>539</v>
      </c>
      <c r="M67" s="481"/>
      <c r="N67" s="430"/>
      <c r="O67" s="430"/>
      <c r="P67" s="430"/>
      <c r="Q67" s="430"/>
      <c r="R67" s="430"/>
      <c r="S67" s="433">
        <f>SUM(M67:R67)</f>
        <v>0</v>
      </c>
    </row>
    <row r="68" spans="1:19" ht="13.5" thickBot="1">
      <c r="A68" s="441" t="s">
        <v>540</v>
      </c>
      <c r="B68" s="438"/>
      <c r="C68" s="430">
        <f>'[17]ASSISTING ANALYSES'!$H$7</f>
        <v>115.74074074074075</v>
      </c>
      <c r="D68" s="429">
        <f>'[17]ASSISTING ANALYSES'!$N$16</f>
        <v>208.33333333333331</v>
      </c>
      <c r="E68" s="422">
        <f>'[17]ASSISTING ANALYSES'!$H$31</f>
        <v>232.77777777777777</v>
      </c>
      <c r="F68" s="422">
        <f>'[17]ASSISTING ANALYSES'!$N$8</f>
        <v>101.85185185185185</v>
      </c>
      <c r="G68" s="429">
        <f>'[17]ASSISTING ANALYSES'!$D$26</f>
        <v>15.185185185185183</v>
      </c>
      <c r="H68" s="431">
        <f>SUM(B68:G68)</f>
        <v>673.88888888888891</v>
      </c>
      <c r="I68" s="406"/>
      <c r="J68" s="407"/>
      <c r="K68" s="408"/>
      <c r="L68" s="441" t="s">
        <v>540</v>
      </c>
      <c r="M68" s="439">
        <v>200</v>
      </c>
      <c r="N68" s="439">
        <v>116</v>
      </c>
      <c r="O68" s="439" t="s">
        <v>109</v>
      </c>
      <c r="P68" s="430">
        <f>'[17]ASSISTING ANALYSES'!$H$32</f>
        <v>62.5</v>
      </c>
      <c r="Q68" s="439"/>
      <c r="R68" s="439">
        <f>'[17]ASSISTING ANALYSES'!$D$11</f>
        <v>36.388888888888886</v>
      </c>
      <c r="S68" s="442">
        <f>SUM(M68:R68)</f>
        <v>414.88888888888891</v>
      </c>
    </row>
    <row r="81" ht="15.75" customHeight="1"/>
    <row r="88" ht="15.75" customHeight="1"/>
    <row r="90" ht="15.75" customHeight="1"/>
    <row r="94" ht="15.75" customHeight="1"/>
    <row r="99" ht="15.75" customHeight="1"/>
    <row r="105" ht="15.75" customHeight="1"/>
    <row r="124" ht="15.7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2" ht="15.75" customHeight="1"/>
    <row r="168" ht="15.75" customHeight="1"/>
    <row r="173" ht="23.25" customHeight="1"/>
    <row r="175" ht="15.75" customHeight="1"/>
    <row r="184" ht="15.75" customHeight="1"/>
    <row r="195" spans="1:27" s="403" customFormat="1">
      <c r="A195" s="402"/>
      <c r="B195" s="402"/>
      <c r="C195" s="402"/>
      <c r="D195" s="402"/>
      <c r="E195" s="402"/>
      <c r="F195" s="402"/>
      <c r="G195" s="402"/>
      <c r="H195" s="402"/>
      <c r="L195" s="402"/>
      <c r="M195" s="402"/>
      <c r="N195" s="402"/>
      <c r="O195" s="402"/>
      <c r="P195" s="402"/>
      <c r="Q195" s="402"/>
      <c r="R195" s="402"/>
      <c r="S195" s="402"/>
      <c r="W195" s="402"/>
      <c r="X195" s="402"/>
      <c r="Y195" s="402"/>
      <c r="Z195" s="402"/>
      <c r="AA195" s="402"/>
    </row>
    <row r="205" spans="1:27">
      <c r="A205" s="403"/>
      <c r="B205" s="403"/>
      <c r="C205" s="403"/>
      <c r="D205" s="403"/>
      <c r="E205" s="403"/>
      <c r="F205" s="403"/>
      <c r="G205" s="403"/>
      <c r="H205" s="403"/>
      <c r="L205" s="403"/>
      <c r="M205" s="403"/>
      <c r="N205" s="403"/>
      <c r="O205" s="403"/>
      <c r="P205" s="403"/>
      <c r="Q205" s="403"/>
      <c r="R205" s="403"/>
      <c r="S205" s="403"/>
    </row>
    <row r="209" spans="23:27">
      <c r="W209" s="403"/>
      <c r="X209" s="403"/>
      <c r="Y209" s="403"/>
      <c r="Z209" s="403"/>
      <c r="AA209" s="403"/>
    </row>
  </sheetData>
  <mergeCells count="27">
    <mergeCell ref="A3:H3"/>
    <mergeCell ref="L3:S3"/>
    <mergeCell ref="X3:AA3"/>
    <mergeCell ref="A4:A5"/>
    <mergeCell ref="L4:L5"/>
    <mergeCell ref="W5:W19"/>
    <mergeCell ref="W32:W38"/>
    <mergeCell ref="A37:H37"/>
    <mergeCell ref="L37:S37"/>
    <mergeCell ref="A38:A39"/>
    <mergeCell ref="L38:L39"/>
    <mergeCell ref="W21:W30"/>
    <mergeCell ref="A23:H23"/>
    <mergeCell ref="L23:S23"/>
    <mergeCell ref="A24:A25"/>
    <mergeCell ref="L24:L25"/>
    <mergeCell ref="W40:W47"/>
    <mergeCell ref="A48:H48"/>
    <mergeCell ref="L48:S48"/>
    <mergeCell ref="A49:A50"/>
    <mergeCell ref="L49:L50"/>
    <mergeCell ref="W49:W53"/>
    <mergeCell ref="W55:W59"/>
    <mergeCell ref="A61:H61"/>
    <mergeCell ref="L61:S61"/>
    <mergeCell ref="A62:A63"/>
    <mergeCell ref="L62:L63"/>
  </mergeCells>
  <pageMargins left="0.7" right="0.7" top="0.75" bottom="0.75" header="0.3" footer="0.3"/>
  <pageSetup paperSize="9" scale="5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X127"/>
  <sheetViews>
    <sheetView view="pageBreakPreview" topLeftCell="A40" zoomScale="85" zoomScaleNormal="75" zoomScaleSheetLayoutView="100" workbookViewId="0">
      <selection activeCell="V106" sqref="V106"/>
    </sheetView>
  </sheetViews>
  <sheetFormatPr defaultColWidth="8" defaultRowHeight="15" customHeight="1"/>
  <cols>
    <col min="1" max="1" width="4.28515625" style="1035" customWidth="1"/>
    <col min="2" max="2" width="48.85546875" style="1035" bestFit="1" customWidth="1"/>
    <col min="3" max="4" width="10.140625" style="1035" customWidth="1"/>
    <col min="5" max="5" width="11.85546875" style="1035" customWidth="1"/>
    <col min="6" max="6" width="11.85546875" style="1037" customWidth="1"/>
    <col min="7" max="7" width="8.5703125" style="1035" bestFit="1" customWidth="1"/>
    <col min="8" max="8" width="10.140625" style="1036" bestFit="1" customWidth="1"/>
    <col min="9" max="9" width="11.85546875" style="1035" customWidth="1"/>
    <col min="10" max="10" width="9.140625" style="1035" bestFit="1" customWidth="1"/>
    <col min="11" max="11" width="11.85546875" style="1035" customWidth="1"/>
    <col min="12" max="12" width="6.7109375" style="1035" customWidth="1"/>
    <col min="13" max="13" width="11.85546875" style="1035" customWidth="1"/>
    <col min="14" max="17" width="6.7109375" style="1035" customWidth="1"/>
    <col min="18" max="18" width="11.85546875" style="1035" customWidth="1"/>
    <col min="19" max="20" width="9.140625" style="1035" bestFit="1" customWidth="1"/>
    <col min="21" max="22" width="11.85546875" style="1035" customWidth="1"/>
    <col min="23" max="23" width="13.5703125" style="1035" bestFit="1" customWidth="1"/>
    <col min="24" max="24" width="10.140625" style="1035" bestFit="1" customWidth="1"/>
    <col min="25" max="16384" width="8" style="1035"/>
  </cols>
  <sheetData>
    <row r="1" spans="1:24" ht="24.95" customHeight="1" thickBot="1">
      <c r="A1" s="1291" t="s">
        <v>695</v>
      </c>
      <c r="B1" s="1292"/>
      <c r="C1" s="1292"/>
      <c r="D1" s="1292"/>
      <c r="E1" s="1292"/>
      <c r="F1" s="1293"/>
      <c r="G1" s="1294" t="s">
        <v>694</v>
      </c>
      <c r="H1" s="1294"/>
      <c r="I1" s="1294"/>
      <c r="J1" s="1294"/>
      <c r="K1" s="1294"/>
      <c r="L1" s="1294"/>
      <c r="M1" s="1294"/>
      <c r="N1" s="1294"/>
      <c r="O1" s="1294"/>
      <c r="P1" s="1294"/>
      <c r="Q1" s="1294"/>
      <c r="R1" s="1294"/>
      <c r="S1" s="1294"/>
      <c r="T1" s="1294"/>
      <c r="U1" s="1295"/>
      <c r="V1" s="1100"/>
    </row>
    <row r="2" spans="1:24" ht="15" customHeight="1">
      <c r="A2" s="1296"/>
      <c r="B2" s="1298" t="s">
        <v>247</v>
      </c>
      <c r="C2" s="1300" t="s">
        <v>693</v>
      </c>
      <c r="D2" s="1301"/>
      <c r="E2" s="1301"/>
      <c r="F2" s="1302"/>
      <c r="G2" s="1098">
        <v>0.39500000000000002</v>
      </c>
      <c r="H2" s="1099">
        <v>0.61699999999999999</v>
      </c>
      <c r="I2" s="1098">
        <v>0.88800000000000001</v>
      </c>
      <c r="J2" s="1098">
        <v>1.208</v>
      </c>
      <c r="K2" s="1098">
        <v>1.5780000000000001</v>
      </c>
      <c r="L2" s="1098">
        <v>1.998</v>
      </c>
      <c r="M2" s="1098">
        <v>2.4660000000000002</v>
      </c>
      <c r="N2" s="1098">
        <v>2.7189999999999999</v>
      </c>
      <c r="O2" s="1098">
        <v>2.984</v>
      </c>
      <c r="P2" s="1098">
        <v>3.5510000000000002</v>
      </c>
      <c r="Q2" s="1098">
        <v>3.8530000000000002</v>
      </c>
      <c r="R2" s="1098">
        <v>4.1680000000000001</v>
      </c>
      <c r="S2" s="1098">
        <v>4.8339999999999996</v>
      </c>
      <c r="T2" s="1098">
        <v>5.5490000000000004</v>
      </c>
      <c r="U2" s="1098">
        <v>6.3129999999999997</v>
      </c>
      <c r="V2" s="1286" t="s">
        <v>692</v>
      </c>
    </row>
    <row r="3" spans="1:24" ht="15" customHeight="1" thickBot="1">
      <c r="A3" s="1297"/>
      <c r="B3" s="1299"/>
      <c r="C3" s="1097" t="s">
        <v>691</v>
      </c>
      <c r="D3" s="1096" t="s">
        <v>690</v>
      </c>
      <c r="E3" s="1096" t="s">
        <v>689</v>
      </c>
      <c r="F3" s="1095" t="s">
        <v>688</v>
      </c>
      <c r="G3" s="1093">
        <v>8</v>
      </c>
      <c r="H3" s="1094">
        <v>10</v>
      </c>
      <c r="I3" s="1093">
        <v>12</v>
      </c>
      <c r="J3" s="1093">
        <v>14</v>
      </c>
      <c r="K3" s="1093">
        <v>16</v>
      </c>
      <c r="L3" s="1093">
        <v>18</v>
      </c>
      <c r="M3" s="1093">
        <v>20</v>
      </c>
      <c r="N3" s="1093">
        <v>21</v>
      </c>
      <c r="O3" s="1093">
        <v>22</v>
      </c>
      <c r="P3" s="1093">
        <v>24</v>
      </c>
      <c r="Q3" s="1093">
        <v>25</v>
      </c>
      <c r="R3" s="1093">
        <v>26</v>
      </c>
      <c r="S3" s="1093">
        <v>28</v>
      </c>
      <c r="T3" s="1093">
        <v>30</v>
      </c>
      <c r="U3" s="1093">
        <v>32</v>
      </c>
      <c r="V3" s="1287"/>
    </row>
    <row r="4" spans="1:24" s="1066" customFormat="1" ht="15" customHeight="1">
      <c r="A4" s="1078"/>
      <c r="B4" s="1079" t="s">
        <v>687</v>
      </c>
      <c r="C4" s="1074"/>
      <c r="D4" s="1073"/>
      <c r="E4" s="1072"/>
      <c r="F4" s="1071"/>
      <c r="G4" s="1070"/>
      <c r="H4" s="1069"/>
      <c r="I4" s="1069"/>
      <c r="J4" s="1069"/>
      <c r="K4" s="1069"/>
      <c r="L4" s="1069"/>
      <c r="M4" s="1069"/>
      <c r="N4" s="1069"/>
      <c r="O4" s="1069"/>
      <c r="P4" s="1069"/>
      <c r="Q4" s="1069"/>
      <c r="R4" s="1069"/>
      <c r="S4" s="1069"/>
      <c r="T4" s="1069"/>
      <c r="U4" s="1068"/>
      <c r="V4" s="1067"/>
      <c r="X4" s="1043"/>
    </row>
    <row r="5" spans="1:24" s="1066" customFormat="1" ht="14.25">
      <c r="A5" s="1076"/>
      <c r="B5" s="1092" t="s">
        <v>353</v>
      </c>
      <c r="C5" s="1074"/>
      <c r="D5" s="1073"/>
      <c r="E5" s="1072"/>
      <c r="F5" s="1071"/>
      <c r="G5" s="1070" t="str">
        <f t="shared" ref="G5:U13" si="0">IF($C5=G$3,$D5*$E5*$F5,"-")</f>
        <v>-</v>
      </c>
      <c r="H5" s="1069" t="str">
        <f t="shared" si="0"/>
        <v>-</v>
      </c>
      <c r="I5" s="1069" t="str">
        <f t="shared" si="0"/>
        <v>-</v>
      </c>
      <c r="J5" s="1069" t="str">
        <f t="shared" si="0"/>
        <v>-</v>
      </c>
      <c r="K5" s="1069" t="str">
        <f t="shared" si="0"/>
        <v>-</v>
      </c>
      <c r="L5" s="1069" t="str">
        <f t="shared" si="0"/>
        <v>-</v>
      </c>
      <c r="M5" s="1069" t="str">
        <f t="shared" si="0"/>
        <v>-</v>
      </c>
      <c r="N5" s="1069" t="str">
        <f t="shared" si="0"/>
        <v>-</v>
      </c>
      <c r="O5" s="1069" t="str">
        <f t="shared" si="0"/>
        <v>-</v>
      </c>
      <c r="P5" s="1069" t="str">
        <f t="shared" si="0"/>
        <v>-</v>
      </c>
      <c r="Q5" s="1069" t="str">
        <f t="shared" si="0"/>
        <v>-</v>
      </c>
      <c r="R5" s="1069" t="str">
        <f t="shared" si="0"/>
        <v>-</v>
      </c>
      <c r="S5" s="1069" t="str">
        <f t="shared" si="0"/>
        <v>-</v>
      </c>
      <c r="T5" s="1069" t="str">
        <f t="shared" si="0"/>
        <v>-</v>
      </c>
      <c r="U5" s="1068" t="str">
        <f t="shared" si="0"/>
        <v>-</v>
      </c>
      <c r="V5" s="1067">
        <f t="shared" ref="V5:V13" si="1">SUMPRODUCT(G5:U5,$G$2:$U$2)</f>
        <v>0</v>
      </c>
      <c r="X5" s="1043"/>
    </row>
    <row r="6" spans="1:24" s="1066" customFormat="1" ht="15" customHeight="1">
      <c r="A6" s="1076"/>
      <c r="B6" s="1075"/>
      <c r="C6" s="1074">
        <v>14</v>
      </c>
      <c r="D6" s="1073">
        <f>5</f>
        <v>5</v>
      </c>
      <c r="E6" s="1072">
        <v>9</v>
      </c>
      <c r="F6" s="1071">
        <v>1.8</v>
      </c>
      <c r="G6" s="1070" t="str">
        <f t="shared" si="0"/>
        <v>-</v>
      </c>
      <c r="H6" s="1069" t="str">
        <f t="shared" si="0"/>
        <v>-</v>
      </c>
      <c r="I6" s="1069" t="str">
        <f t="shared" si="0"/>
        <v>-</v>
      </c>
      <c r="J6" s="1069">
        <f t="shared" si="0"/>
        <v>81</v>
      </c>
      <c r="K6" s="1069" t="str">
        <f t="shared" si="0"/>
        <v>-</v>
      </c>
      <c r="L6" s="1069" t="str">
        <f t="shared" si="0"/>
        <v>-</v>
      </c>
      <c r="M6" s="1069" t="str">
        <f t="shared" si="0"/>
        <v>-</v>
      </c>
      <c r="N6" s="1069" t="str">
        <f t="shared" si="0"/>
        <v>-</v>
      </c>
      <c r="O6" s="1069" t="str">
        <f t="shared" si="0"/>
        <v>-</v>
      </c>
      <c r="P6" s="1069" t="str">
        <f t="shared" si="0"/>
        <v>-</v>
      </c>
      <c r="Q6" s="1069" t="str">
        <f t="shared" si="0"/>
        <v>-</v>
      </c>
      <c r="R6" s="1069" t="str">
        <f t="shared" si="0"/>
        <v>-</v>
      </c>
      <c r="S6" s="1069" t="str">
        <f t="shared" si="0"/>
        <v>-</v>
      </c>
      <c r="T6" s="1069" t="str">
        <f t="shared" si="0"/>
        <v>-</v>
      </c>
      <c r="U6" s="1068" t="str">
        <f t="shared" si="0"/>
        <v>-</v>
      </c>
      <c r="V6" s="1067">
        <f t="shared" si="1"/>
        <v>97.847999999999999</v>
      </c>
      <c r="X6" s="1043"/>
    </row>
    <row r="7" spans="1:24" s="1066" customFormat="1" ht="15" customHeight="1">
      <c r="A7" s="1078"/>
      <c r="B7" s="1075"/>
      <c r="C7" s="1074">
        <v>14</v>
      </c>
      <c r="D7" s="1073">
        <f>5</f>
        <v>5</v>
      </c>
      <c r="E7" s="1072">
        <v>7</v>
      </c>
      <c r="F7" s="1071">
        <v>1.7</v>
      </c>
      <c r="G7" s="1070" t="str">
        <f t="shared" si="0"/>
        <v>-</v>
      </c>
      <c r="H7" s="1069" t="str">
        <f t="shared" si="0"/>
        <v>-</v>
      </c>
      <c r="I7" s="1069" t="str">
        <f t="shared" si="0"/>
        <v>-</v>
      </c>
      <c r="J7" s="1069">
        <f t="shared" si="0"/>
        <v>59.5</v>
      </c>
      <c r="K7" s="1069" t="str">
        <f t="shared" si="0"/>
        <v>-</v>
      </c>
      <c r="L7" s="1069" t="str">
        <f t="shared" si="0"/>
        <v>-</v>
      </c>
      <c r="M7" s="1069" t="str">
        <f t="shared" si="0"/>
        <v>-</v>
      </c>
      <c r="N7" s="1069" t="str">
        <f t="shared" si="0"/>
        <v>-</v>
      </c>
      <c r="O7" s="1069" t="str">
        <f t="shared" si="0"/>
        <v>-</v>
      </c>
      <c r="P7" s="1069" t="str">
        <f t="shared" si="0"/>
        <v>-</v>
      </c>
      <c r="Q7" s="1069" t="str">
        <f t="shared" si="0"/>
        <v>-</v>
      </c>
      <c r="R7" s="1069" t="str">
        <f t="shared" si="0"/>
        <v>-</v>
      </c>
      <c r="S7" s="1069" t="str">
        <f t="shared" si="0"/>
        <v>-</v>
      </c>
      <c r="T7" s="1069" t="str">
        <f t="shared" si="0"/>
        <v>-</v>
      </c>
      <c r="U7" s="1068" t="str">
        <f t="shared" si="0"/>
        <v>-</v>
      </c>
      <c r="V7" s="1067">
        <f t="shared" si="1"/>
        <v>71.876000000000005</v>
      </c>
      <c r="X7" s="1043"/>
    </row>
    <row r="8" spans="1:24" s="1066" customFormat="1" ht="15" customHeight="1">
      <c r="A8" s="1078"/>
      <c r="B8" s="1092" t="s">
        <v>354</v>
      </c>
      <c r="C8" s="1074"/>
      <c r="D8" s="1073"/>
      <c r="E8" s="1072"/>
      <c r="F8" s="1071"/>
      <c r="G8" s="1070" t="str">
        <f t="shared" si="0"/>
        <v>-</v>
      </c>
      <c r="H8" s="1069" t="str">
        <f t="shared" si="0"/>
        <v>-</v>
      </c>
      <c r="I8" s="1069" t="str">
        <f t="shared" si="0"/>
        <v>-</v>
      </c>
      <c r="J8" s="1069" t="str">
        <f t="shared" si="0"/>
        <v>-</v>
      </c>
      <c r="K8" s="1069" t="str">
        <f t="shared" si="0"/>
        <v>-</v>
      </c>
      <c r="L8" s="1069" t="str">
        <f t="shared" si="0"/>
        <v>-</v>
      </c>
      <c r="M8" s="1069" t="str">
        <f t="shared" si="0"/>
        <v>-</v>
      </c>
      <c r="N8" s="1069" t="str">
        <f t="shared" si="0"/>
        <v>-</v>
      </c>
      <c r="O8" s="1069" t="str">
        <f t="shared" si="0"/>
        <v>-</v>
      </c>
      <c r="P8" s="1069" t="str">
        <f t="shared" si="0"/>
        <v>-</v>
      </c>
      <c r="Q8" s="1069" t="str">
        <f t="shared" si="0"/>
        <v>-</v>
      </c>
      <c r="R8" s="1069" t="str">
        <f t="shared" si="0"/>
        <v>-</v>
      </c>
      <c r="S8" s="1069" t="str">
        <f t="shared" si="0"/>
        <v>-</v>
      </c>
      <c r="T8" s="1069" t="str">
        <f t="shared" si="0"/>
        <v>-</v>
      </c>
      <c r="U8" s="1068" t="str">
        <f t="shared" si="0"/>
        <v>-</v>
      </c>
      <c r="V8" s="1067">
        <f t="shared" si="1"/>
        <v>0</v>
      </c>
      <c r="X8" s="1043"/>
    </row>
    <row r="9" spans="1:24" s="1066" customFormat="1" ht="15" customHeight="1">
      <c r="A9" s="1078"/>
      <c r="B9" s="1075"/>
      <c r="C9" s="1074">
        <v>16</v>
      </c>
      <c r="D9" s="1073">
        <f>8</f>
        <v>8</v>
      </c>
      <c r="E9" s="1072">
        <v>10</v>
      </c>
      <c r="F9" s="1071">
        <v>2</v>
      </c>
      <c r="G9" s="1070" t="str">
        <f t="shared" si="0"/>
        <v>-</v>
      </c>
      <c r="H9" s="1069" t="str">
        <f t="shared" si="0"/>
        <v>-</v>
      </c>
      <c r="I9" s="1069" t="str">
        <f t="shared" si="0"/>
        <v>-</v>
      </c>
      <c r="J9" s="1069" t="str">
        <f t="shared" si="0"/>
        <v>-</v>
      </c>
      <c r="K9" s="1069">
        <f t="shared" si="0"/>
        <v>160</v>
      </c>
      <c r="L9" s="1069" t="str">
        <f t="shared" si="0"/>
        <v>-</v>
      </c>
      <c r="M9" s="1069" t="str">
        <f t="shared" si="0"/>
        <v>-</v>
      </c>
      <c r="N9" s="1069" t="str">
        <f t="shared" si="0"/>
        <v>-</v>
      </c>
      <c r="O9" s="1069" t="str">
        <f t="shared" si="0"/>
        <v>-</v>
      </c>
      <c r="P9" s="1069" t="str">
        <f t="shared" si="0"/>
        <v>-</v>
      </c>
      <c r="Q9" s="1069" t="str">
        <f t="shared" si="0"/>
        <v>-</v>
      </c>
      <c r="R9" s="1069" t="str">
        <f t="shared" si="0"/>
        <v>-</v>
      </c>
      <c r="S9" s="1069" t="str">
        <f t="shared" si="0"/>
        <v>-</v>
      </c>
      <c r="T9" s="1069" t="str">
        <f t="shared" si="0"/>
        <v>-</v>
      </c>
      <c r="U9" s="1068" t="str">
        <f t="shared" si="0"/>
        <v>-</v>
      </c>
      <c r="V9" s="1067">
        <f t="shared" si="1"/>
        <v>252.48000000000002</v>
      </c>
      <c r="X9" s="1043"/>
    </row>
    <row r="10" spans="1:24" s="1066" customFormat="1" ht="15" customHeight="1">
      <c r="A10" s="1078"/>
      <c r="B10" s="1075"/>
      <c r="C10" s="1074">
        <v>16</v>
      </c>
      <c r="D10" s="1073">
        <f>8</f>
        <v>8</v>
      </c>
      <c r="E10" s="1072">
        <v>9</v>
      </c>
      <c r="F10" s="1071">
        <v>2.2000000000000002</v>
      </c>
      <c r="G10" s="1070" t="str">
        <f t="shared" si="0"/>
        <v>-</v>
      </c>
      <c r="H10" s="1069" t="str">
        <f t="shared" si="0"/>
        <v>-</v>
      </c>
      <c r="I10" s="1069" t="str">
        <f t="shared" si="0"/>
        <v>-</v>
      </c>
      <c r="J10" s="1069" t="str">
        <f t="shared" si="0"/>
        <v>-</v>
      </c>
      <c r="K10" s="1069">
        <f t="shared" si="0"/>
        <v>158.4</v>
      </c>
      <c r="L10" s="1069" t="str">
        <f t="shared" si="0"/>
        <v>-</v>
      </c>
      <c r="M10" s="1069" t="str">
        <f t="shared" si="0"/>
        <v>-</v>
      </c>
      <c r="N10" s="1069" t="str">
        <f t="shared" si="0"/>
        <v>-</v>
      </c>
      <c r="O10" s="1069" t="str">
        <f t="shared" si="0"/>
        <v>-</v>
      </c>
      <c r="P10" s="1069" t="str">
        <f t="shared" si="0"/>
        <v>-</v>
      </c>
      <c r="Q10" s="1069" t="str">
        <f t="shared" si="0"/>
        <v>-</v>
      </c>
      <c r="R10" s="1069" t="str">
        <f t="shared" si="0"/>
        <v>-</v>
      </c>
      <c r="S10" s="1069" t="str">
        <f t="shared" si="0"/>
        <v>-</v>
      </c>
      <c r="T10" s="1069" t="str">
        <f t="shared" si="0"/>
        <v>-</v>
      </c>
      <c r="U10" s="1068" t="str">
        <f t="shared" si="0"/>
        <v>-</v>
      </c>
      <c r="V10" s="1067">
        <f t="shared" si="1"/>
        <v>249.95520000000002</v>
      </c>
      <c r="X10" s="1043"/>
    </row>
    <row r="11" spans="1:24" s="1066" customFormat="1" ht="15" customHeight="1">
      <c r="A11" s="1078"/>
      <c r="B11" s="1092" t="s">
        <v>355</v>
      </c>
      <c r="C11" s="1074"/>
      <c r="D11" s="1073"/>
      <c r="E11" s="1072"/>
      <c r="F11" s="1071"/>
      <c r="G11" s="1070" t="str">
        <f t="shared" si="0"/>
        <v>-</v>
      </c>
      <c r="H11" s="1069" t="str">
        <f t="shared" si="0"/>
        <v>-</v>
      </c>
      <c r="I11" s="1069" t="str">
        <f t="shared" si="0"/>
        <v>-</v>
      </c>
      <c r="J11" s="1069" t="str">
        <f t="shared" si="0"/>
        <v>-</v>
      </c>
      <c r="K11" s="1069" t="str">
        <f t="shared" si="0"/>
        <v>-</v>
      </c>
      <c r="L11" s="1069" t="str">
        <f t="shared" si="0"/>
        <v>-</v>
      </c>
      <c r="M11" s="1069" t="str">
        <f t="shared" si="0"/>
        <v>-</v>
      </c>
      <c r="N11" s="1069" t="str">
        <f t="shared" si="0"/>
        <v>-</v>
      </c>
      <c r="O11" s="1069" t="str">
        <f t="shared" si="0"/>
        <v>-</v>
      </c>
      <c r="P11" s="1069" t="str">
        <f t="shared" si="0"/>
        <v>-</v>
      </c>
      <c r="Q11" s="1069" t="str">
        <f t="shared" si="0"/>
        <v>-</v>
      </c>
      <c r="R11" s="1069" t="str">
        <f t="shared" si="0"/>
        <v>-</v>
      </c>
      <c r="S11" s="1069" t="str">
        <f t="shared" si="0"/>
        <v>-</v>
      </c>
      <c r="T11" s="1069" t="str">
        <f t="shared" si="0"/>
        <v>-</v>
      </c>
      <c r="U11" s="1068" t="str">
        <f t="shared" si="0"/>
        <v>-</v>
      </c>
      <c r="V11" s="1067">
        <f t="shared" si="1"/>
        <v>0</v>
      </c>
      <c r="X11" s="1043"/>
    </row>
    <row r="12" spans="1:24" s="1066" customFormat="1" ht="15" customHeight="1">
      <c r="A12" s="1078"/>
      <c r="B12" s="1075"/>
      <c r="C12" s="1074">
        <v>16</v>
      </c>
      <c r="D12" s="1073">
        <f>1</f>
        <v>1</v>
      </c>
      <c r="E12" s="1072">
        <v>12</v>
      </c>
      <c r="F12" s="1071">
        <v>2.2999999999999998</v>
      </c>
      <c r="G12" s="1070" t="str">
        <f t="shared" si="0"/>
        <v>-</v>
      </c>
      <c r="H12" s="1069" t="str">
        <f t="shared" si="0"/>
        <v>-</v>
      </c>
      <c r="I12" s="1069" t="str">
        <f t="shared" si="0"/>
        <v>-</v>
      </c>
      <c r="J12" s="1069" t="str">
        <f t="shared" si="0"/>
        <v>-</v>
      </c>
      <c r="K12" s="1069">
        <f t="shared" si="0"/>
        <v>27.599999999999998</v>
      </c>
      <c r="L12" s="1069" t="str">
        <f t="shared" si="0"/>
        <v>-</v>
      </c>
      <c r="M12" s="1069" t="str">
        <f t="shared" si="0"/>
        <v>-</v>
      </c>
      <c r="N12" s="1069" t="str">
        <f t="shared" si="0"/>
        <v>-</v>
      </c>
      <c r="O12" s="1069" t="str">
        <f t="shared" si="0"/>
        <v>-</v>
      </c>
      <c r="P12" s="1069" t="str">
        <f t="shared" si="0"/>
        <v>-</v>
      </c>
      <c r="Q12" s="1069" t="str">
        <f t="shared" si="0"/>
        <v>-</v>
      </c>
      <c r="R12" s="1069" t="str">
        <f t="shared" si="0"/>
        <v>-</v>
      </c>
      <c r="S12" s="1069" t="str">
        <f t="shared" si="0"/>
        <v>-</v>
      </c>
      <c r="T12" s="1069" t="str">
        <f t="shared" si="0"/>
        <v>-</v>
      </c>
      <c r="U12" s="1068" t="str">
        <f t="shared" si="0"/>
        <v>-</v>
      </c>
      <c r="V12" s="1067">
        <f t="shared" si="1"/>
        <v>43.552799999999998</v>
      </c>
      <c r="X12" s="1043"/>
    </row>
    <row r="13" spans="1:24" s="1066" customFormat="1" ht="15" customHeight="1">
      <c r="A13" s="1078"/>
      <c r="B13" s="1075"/>
      <c r="C13" s="1074">
        <v>16</v>
      </c>
      <c r="D13" s="1073">
        <f>1</f>
        <v>1</v>
      </c>
      <c r="E13" s="1072">
        <v>10</v>
      </c>
      <c r="F13" s="1071">
        <v>2.5</v>
      </c>
      <c r="G13" s="1070" t="str">
        <f t="shared" si="0"/>
        <v>-</v>
      </c>
      <c r="H13" s="1069" t="str">
        <f t="shared" si="0"/>
        <v>-</v>
      </c>
      <c r="I13" s="1069" t="str">
        <f t="shared" si="0"/>
        <v>-</v>
      </c>
      <c r="J13" s="1069" t="str">
        <f t="shared" si="0"/>
        <v>-</v>
      </c>
      <c r="K13" s="1069">
        <f t="shared" si="0"/>
        <v>25</v>
      </c>
      <c r="L13" s="1069" t="str">
        <f t="shared" si="0"/>
        <v>-</v>
      </c>
      <c r="M13" s="1069" t="str">
        <f t="shared" si="0"/>
        <v>-</v>
      </c>
      <c r="N13" s="1069" t="str">
        <f t="shared" si="0"/>
        <v>-</v>
      </c>
      <c r="O13" s="1069" t="str">
        <f t="shared" si="0"/>
        <v>-</v>
      </c>
      <c r="P13" s="1069" t="str">
        <f t="shared" si="0"/>
        <v>-</v>
      </c>
      <c r="Q13" s="1069" t="str">
        <f t="shared" si="0"/>
        <v>-</v>
      </c>
      <c r="R13" s="1069" t="str">
        <f t="shared" si="0"/>
        <v>-</v>
      </c>
      <c r="S13" s="1069" t="str">
        <f t="shared" si="0"/>
        <v>-</v>
      </c>
      <c r="T13" s="1069" t="str">
        <f t="shared" si="0"/>
        <v>-</v>
      </c>
      <c r="U13" s="1068" t="str">
        <f t="shared" si="0"/>
        <v>-</v>
      </c>
      <c r="V13" s="1067">
        <f t="shared" si="1"/>
        <v>39.450000000000003</v>
      </c>
      <c r="X13" s="1043"/>
    </row>
    <row r="14" spans="1:24" s="1066" customFormat="1" ht="15" customHeight="1">
      <c r="A14" s="1078"/>
      <c r="B14" s="1079" t="s">
        <v>686</v>
      </c>
      <c r="C14" s="1074"/>
      <c r="D14" s="1073"/>
      <c r="E14" s="1072"/>
      <c r="F14" s="1071"/>
      <c r="G14" s="1070"/>
      <c r="H14" s="1069"/>
      <c r="I14" s="1069"/>
      <c r="J14" s="1069"/>
      <c r="K14" s="1069"/>
      <c r="L14" s="1069"/>
      <c r="M14" s="1069"/>
      <c r="N14" s="1069"/>
      <c r="O14" s="1069"/>
      <c r="P14" s="1069"/>
      <c r="Q14" s="1069"/>
      <c r="R14" s="1069"/>
      <c r="S14" s="1069"/>
      <c r="T14" s="1069"/>
      <c r="U14" s="1068"/>
      <c r="V14" s="1067"/>
      <c r="X14" s="1043"/>
    </row>
    <row r="15" spans="1:24" s="1066" customFormat="1" ht="14.25">
      <c r="A15" s="1076"/>
      <c r="B15" s="1092" t="s">
        <v>415</v>
      </c>
      <c r="C15" s="1074"/>
      <c r="D15" s="1073"/>
      <c r="E15" s="1072"/>
      <c r="F15" s="1071"/>
      <c r="G15" s="1070" t="str">
        <f t="shared" ref="G15:U24" si="2">IF($C15=G$3,$D15*$E15*$F15,"-")</f>
        <v>-</v>
      </c>
      <c r="H15" s="1069" t="str">
        <f t="shared" si="2"/>
        <v>-</v>
      </c>
      <c r="I15" s="1069" t="str">
        <f t="shared" si="2"/>
        <v>-</v>
      </c>
      <c r="J15" s="1069" t="str">
        <f t="shared" si="2"/>
        <v>-</v>
      </c>
      <c r="K15" s="1069" t="str">
        <f t="shared" si="2"/>
        <v>-</v>
      </c>
      <c r="L15" s="1069" t="str">
        <f t="shared" si="2"/>
        <v>-</v>
      </c>
      <c r="M15" s="1069" t="str">
        <f t="shared" si="2"/>
        <v>-</v>
      </c>
      <c r="N15" s="1069" t="str">
        <f t="shared" si="2"/>
        <v>-</v>
      </c>
      <c r="O15" s="1069" t="str">
        <f t="shared" si="2"/>
        <v>-</v>
      </c>
      <c r="P15" s="1069" t="str">
        <f t="shared" si="2"/>
        <v>-</v>
      </c>
      <c r="Q15" s="1069" t="str">
        <f t="shared" si="2"/>
        <v>-</v>
      </c>
      <c r="R15" s="1069" t="str">
        <f t="shared" si="2"/>
        <v>-</v>
      </c>
      <c r="S15" s="1069" t="str">
        <f t="shared" si="2"/>
        <v>-</v>
      </c>
      <c r="T15" s="1069" t="str">
        <f t="shared" si="2"/>
        <v>-</v>
      </c>
      <c r="U15" s="1068" t="str">
        <f t="shared" si="2"/>
        <v>-</v>
      </c>
      <c r="V15" s="1067">
        <f t="shared" ref="V15:V45" si="3">SUMPRODUCT(G15:U15,$G$2:$U$2)</f>
        <v>0</v>
      </c>
      <c r="X15" s="1043"/>
    </row>
    <row r="16" spans="1:24" s="1066" customFormat="1" ht="15" customHeight="1">
      <c r="A16" s="1076"/>
      <c r="B16" s="1075"/>
      <c r="C16" s="1074">
        <v>14</v>
      </c>
      <c r="D16" s="1073">
        <f>5</f>
        <v>5</v>
      </c>
      <c r="E16" s="1072">
        <v>6</v>
      </c>
      <c r="F16" s="1071">
        <v>5.2</v>
      </c>
      <c r="G16" s="1070" t="str">
        <f t="shared" si="2"/>
        <v>-</v>
      </c>
      <c r="H16" s="1069" t="str">
        <f t="shared" si="2"/>
        <v>-</v>
      </c>
      <c r="I16" s="1069" t="str">
        <f t="shared" si="2"/>
        <v>-</v>
      </c>
      <c r="J16" s="1069">
        <f t="shared" si="2"/>
        <v>156</v>
      </c>
      <c r="K16" s="1069" t="str">
        <f t="shared" si="2"/>
        <v>-</v>
      </c>
      <c r="L16" s="1069" t="str">
        <f t="shared" si="2"/>
        <v>-</v>
      </c>
      <c r="M16" s="1069" t="str">
        <f t="shared" si="2"/>
        <v>-</v>
      </c>
      <c r="N16" s="1069" t="str">
        <f t="shared" si="2"/>
        <v>-</v>
      </c>
      <c r="O16" s="1069" t="str">
        <f t="shared" si="2"/>
        <v>-</v>
      </c>
      <c r="P16" s="1069" t="str">
        <f t="shared" si="2"/>
        <v>-</v>
      </c>
      <c r="Q16" s="1069" t="str">
        <f t="shared" si="2"/>
        <v>-</v>
      </c>
      <c r="R16" s="1069" t="str">
        <f t="shared" si="2"/>
        <v>-</v>
      </c>
      <c r="S16" s="1069" t="str">
        <f t="shared" si="2"/>
        <v>-</v>
      </c>
      <c r="T16" s="1069" t="str">
        <f t="shared" si="2"/>
        <v>-</v>
      </c>
      <c r="U16" s="1068" t="str">
        <f t="shared" si="2"/>
        <v>-</v>
      </c>
      <c r="V16" s="1067">
        <f t="shared" si="3"/>
        <v>188.44800000000001</v>
      </c>
      <c r="X16" s="1043"/>
    </row>
    <row r="17" spans="1:24" s="1066" customFormat="1" ht="15" customHeight="1">
      <c r="A17" s="1078"/>
      <c r="B17" s="1075"/>
      <c r="C17" s="1074">
        <v>8</v>
      </c>
      <c r="D17" s="1073">
        <f>5</f>
        <v>5</v>
      </c>
      <c r="E17" s="1072">
        <f>F16/0.2</f>
        <v>26</v>
      </c>
      <c r="F17" s="1071">
        <v>1</v>
      </c>
      <c r="G17" s="1070">
        <f t="shared" si="2"/>
        <v>130</v>
      </c>
      <c r="H17" s="1069" t="str">
        <f t="shared" si="2"/>
        <v>-</v>
      </c>
      <c r="I17" s="1069" t="str">
        <f t="shared" si="2"/>
        <v>-</v>
      </c>
      <c r="J17" s="1069" t="str">
        <f t="shared" si="2"/>
        <v>-</v>
      </c>
      <c r="K17" s="1069" t="str">
        <f t="shared" si="2"/>
        <v>-</v>
      </c>
      <c r="L17" s="1069" t="str">
        <f t="shared" si="2"/>
        <v>-</v>
      </c>
      <c r="M17" s="1069" t="str">
        <f t="shared" si="2"/>
        <v>-</v>
      </c>
      <c r="N17" s="1069" t="str">
        <f t="shared" si="2"/>
        <v>-</v>
      </c>
      <c r="O17" s="1069" t="str">
        <f t="shared" si="2"/>
        <v>-</v>
      </c>
      <c r="P17" s="1069" t="str">
        <f t="shared" si="2"/>
        <v>-</v>
      </c>
      <c r="Q17" s="1069" t="str">
        <f t="shared" si="2"/>
        <v>-</v>
      </c>
      <c r="R17" s="1069" t="str">
        <f t="shared" si="2"/>
        <v>-</v>
      </c>
      <c r="S17" s="1069" t="str">
        <f t="shared" si="2"/>
        <v>-</v>
      </c>
      <c r="T17" s="1069" t="str">
        <f t="shared" si="2"/>
        <v>-</v>
      </c>
      <c r="U17" s="1068" t="str">
        <f t="shared" si="2"/>
        <v>-</v>
      </c>
      <c r="V17" s="1067">
        <f t="shared" si="3"/>
        <v>51.35</v>
      </c>
      <c r="X17" s="1043"/>
    </row>
    <row r="18" spans="1:24" s="1066" customFormat="1" ht="15" customHeight="1">
      <c r="A18" s="1078"/>
      <c r="B18" s="1092" t="s">
        <v>416</v>
      </c>
      <c r="C18" s="1074"/>
      <c r="D18" s="1073"/>
      <c r="E18" s="1072"/>
      <c r="F18" s="1071"/>
      <c r="G18" s="1070" t="str">
        <f t="shared" si="2"/>
        <v>-</v>
      </c>
      <c r="H18" s="1069" t="str">
        <f t="shared" si="2"/>
        <v>-</v>
      </c>
      <c r="I18" s="1069" t="str">
        <f t="shared" si="2"/>
        <v>-</v>
      </c>
      <c r="J18" s="1069" t="str">
        <f t="shared" si="2"/>
        <v>-</v>
      </c>
      <c r="K18" s="1069" t="str">
        <f t="shared" si="2"/>
        <v>-</v>
      </c>
      <c r="L18" s="1069" t="str">
        <f t="shared" si="2"/>
        <v>-</v>
      </c>
      <c r="M18" s="1069" t="str">
        <f t="shared" si="2"/>
        <v>-</v>
      </c>
      <c r="N18" s="1069" t="str">
        <f t="shared" si="2"/>
        <v>-</v>
      </c>
      <c r="O18" s="1069" t="str">
        <f t="shared" si="2"/>
        <v>-</v>
      </c>
      <c r="P18" s="1069" t="str">
        <f t="shared" si="2"/>
        <v>-</v>
      </c>
      <c r="Q18" s="1069" t="str">
        <f t="shared" si="2"/>
        <v>-</v>
      </c>
      <c r="R18" s="1069" t="str">
        <f t="shared" si="2"/>
        <v>-</v>
      </c>
      <c r="S18" s="1069" t="str">
        <f t="shared" si="2"/>
        <v>-</v>
      </c>
      <c r="T18" s="1069" t="str">
        <f t="shared" si="2"/>
        <v>-</v>
      </c>
      <c r="U18" s="1068" t="str">
        <f t="shared" si="2"/>
        <v>-</v>
      </c>
      <c r="V18" s="1067">
        <f t="shared" si="3"/>
        <v>0</v>
      </c>
      <c r="X18" s="1043"/>
    </row>
    <row r="19" spans="1:24" s="1066" customFormat="1" ht="15" customHeight="1">
      <c r="A19" s="1078"/>
      <c r="B19" s="1075"/>
      <c r="C19" s="1074">
        <v>16</v>
      </c>
      <c r="D19" s="1073">
        <f>9</f>
        <v>9</v>
      </c>
      <c r="E19" s="1072">
        <v>6</v>
      </c>
      <c r="F19" s="1071">
        <v>5.2</v>
      </c>
      <c r="G19" s="1070" t="str">
        <f t="shared" si="2"/>
        <v>-</v>
      </c>
      <c r="H19" s="1069" t="str">
        <f t="shared" si="2"/>
        <v>-</v>
      </c>
      <c r="I19" s="1069" t="str">
        <f t="shared" si="2"/>
        <v>-</v>
      </c>
      <c r="J19" s="1069" t="str">
        <f t="shared" si="2"/>
        <v>-</v>
      </c>
      <c r="K19" s="1069">
        <f t="shared" si="2"/>
        <v>280.8</v>
      </c>
      <c r="L19" s="1069" t="str">
        <f t="shared" si="2"/>
        <v>-</v>
      </c>
      <c r="M19" s="1069" t="str">
        <f t="shared" si="2"/>
        <v>-</v>
      </c>
      <c r="N19" s="1069" t="str">
        <f t="shared" si="2"/>
        <v>-</v>
      </c>
      <c r="O19" s="1069" t="str">
        <f t="shared" si="2"/>
        <v>-</v>
      </c>
      <c r="P19" s="1069" t="str">
        <f t="shared" si="2"/>
        <v>-</v>
      </c>
      <c r="Q19" s="1069" t="str">
        <f t="shared" si="2"/>
        <v>-</v>
      </c>
      <c r="R19" s="1069" t="str">
        <f t="shared" si="2"/>
        <v>-</v>
      </c>
      <c r="S19" s="1069" t="str">
        <f t="shared" si="2"/>
        <v>-</v>
      </c>
      <c r="T19" s="1069" t="str">
        <f t="shared" si="2"/>
        <v>-</v>
      </c>
      <c r="U19" s="1068" t="str">
        <f t="shared" si="2"/>
        <v>-</v>
      </c>
      <c r="V19" s="1067">
        <f t="shared" si="3"/>
        <v>443.10240000000005</v>
      </c>
      <c r="X19" s="1043"/>
    </row>
    <row r="20" spans="1:24" s="1066" customFormat="1" ht="15" customHeight="1">
      <c r="A20" s="1078"/>
      <c r="B20" s="1075"/>
      <c r="C20" s="1074">
        <v>8</v>
      </c>
      <c r="D20" s="1073">
        <f>9</f>
        <v>9</v>
      </c>
      <c r="E20" s="1072">
        <f>F19/0.2</f>
        <v>26</v>
      </c>
      <c r="F20" s="1071">
        <v>1.2</v>
      </c>
      <c r="G20" s="1070">
        <f t="shared" si="2"/>
        <v>280.8</v>
      </c>
      <c r="H20" s="1069" t="str">
        <f t="shared" si="2"/>
        <v>-</v>
      </c>
      <c r="I20" s="1069" t="str">
        <f t="shared" si="2"/>
        <v>-</v>
      </c>
      <c r="J20" s="1069" t="str">
        <f t="shared" si="2"/>
        <v>-</v>
      </c>
      <c r="K20" s="1069" t="str">
        <f t="shared" si="2"/>
        <v>-</v>
      </c>
      <c r="L20" s="1069" t="str">
        <f t="shared" si="2"/>
        <v>-</v>
      </c>
      <c r="M20" s="1069" t="str">
        <f t="shared" si="2"/>
        <v>-</v>
      </c>
      <c r="N20" s="1069" t="str">
        <f t="shared" si="2"/>
        <v>-</v>
      </c>
      <c r="O20" s="1069" t="str">
        <f t="shared" si="2"/>
        <v>-</v>
      </c>
      <c r="P20" s="1069" t="str">
        <f t="shared" si="2"/>
        <v>-</v>
      </c>
      <c r="Q20" s="1069" t="str">
        <f t="shared" si="2"/>
        <v>-</v>
      </c>
      <c r="R20" s="1069" t="str">
        <f t="shared" si="2"/>
        <v>-</v>
      </c>
      <c r="S20" s="1069" t="str">
        <f t="shared" si="2"/>
        <v>-</v>
      </c>
      <c r="T20" s="1069" t="str">
        <f t="shared" si="2"/>
        <v>-</v>
      </c>
      <c r="U20" s="1068" t="str">
        <f t="shared" si="2"/>
        <v>-</v>
      </c>
      <c r="V20" s="1067">
        <f t="shared" si="3"/>
        <v>110.91600000000001</v>
      </c>
      <c r="X20" s="1043"/>
    </row>
    <row r="21" spans="1:24" s="1066" customFormat="1" ht="15" customHeight="1">
      <c r="A21" s="1076"/>
      <c r="B21" s="1079" t="s">
        <v>685</v>
      </c>
      <c r="C21" s="1074"/>
      <c r="D21" s="1073"/>
      <c r="E21" s="1072"/>
      <c r="F21" s="1071"/>
      <c r="G21" s="1070" t="str">
        <f t="shared" si="2"/>
        <v>-</v>
      </c>
      <c r="H21" s="1069" t="str">
        <f t="shared" si="2"/>
        <v>-</v>
      </c>
      <c r="I21" s="1069" t="str">
        <f t="shared" si="2"/>
        <v>-</v>
      </c>
      <c r="J21" s="1069" t="str">
        <f t="shared" si="2"/>
        <v>-</v>
      </c>
      <c r="K21" s="1069" t="str">
        <f t="shared" si="2"/>
        <v>-</v>
      </c>
      <c r="L21" s="1069" t="str">
        <f t="shared" si="2"/>
        <v>-</v>
      </c>
      <c r="M21" s="1069" t="str">
        <f t="shared" si="2"/>
        <v>-</v>
      </c>
      <c r="N21" s="1069" t="str">
        <f t="shared" si="2"/>
        <v>-</v>
      </c>
      <c r="O21" s="1069" t="str">
        <f t="shared" si="2"/>
        <v>-</v>
      </c>
      <c r="P21" s="1069" t="str">
        <f t="shared" si="2"/>
        <v>-</v>
      </c>
      <c r="Q21" s="1069" t="str">
        <f t="shared" si="2"/>
        <v>-</v>
      </c>
      <c r="R21" s="1069" t="str">
        <f t="shared" si="2"/>
        <v>-</v>
      </c>
      <c r="S21" s="1069" t="str">
        <f t="shared" si="2"/>
        <v>-</v>
      </c>
      <c r="T21" s="1069" t="str">
        <f t="shared" si="2"/>
        <v>-</v>
      </c>
      <c r="U21" s="1068" t="str">
        <f t="shared" si="2"/>
        <v>-</v>
      </c>
      <c r="V21" s="1067">
        <f t="shared" si="3"/>
        <v>0</v>
      </c>
      <c r="X21" s="1043"/>
    </row>
    <row r="22" spans="1:24" s="1066" customFormat="1" ht="15" customHeight="1">
      <c r="A22" s="1078"/>
      <c r="B22" s="1082" t="s">
        <v>370</v>
      </c>
      <c r="C22" s="1074">
        <v>14</v>
      </c>
      <c r="D22" s="1073">
        <v>1</v>
      </c>
      <c r="E22" s="1072">
        <v>2</v>
      </c>
      <c r="F22" s="1071">
        <v>5.7</v>
      </c>
      <c r="G22" s="1070" t="str">
        <f t="shared" si="2"/>
        <v>-</v>
      </c>
      <c r="H22" s="1069" t="str">
        <f t="shared" si="2"/>
        <v>-</v>
      </c>
      <c r="I22" s="1069" t="str">
        <f t="shared" si="2"/>
        <v>-</v>
      </c>
      <c r="J22" s="1069">
        <f t="shared" si="2"/>
        <v>11.4</v>
      </c>
      <c r="K22" s="1069" t="str">
        <f t="shared" si="2"/>
        <v>-</v>
      </c>
      <c r="L22" s="1069" t="str">
        <f t="shared" si="2"/>
        <v>-</v>
      </c>
      <c r="M22" s="1069" t="str">
        <f t="shared" si="2"/>
        <v>-</v>
      </c>
      <c r="N22" s="1069" t="str">
        <f t="shared" si="2"/>
        <v>-</v>
      </c>
      <c r="O22" s="1069" t="str">
        <f t="shared" si="2"/>
        <v>-</v>
      </c>
      <c r="P22" s="1069" t="str">
        <f t="shared" si="2"/>
        <v>-</v>
      </c>
      <c r="Q22" s="1069" t="str">
        <f t="shared" si="2"/>
        <v>-</v>
      </c>
      <c r="R22" s="1069" t="str">
        <f t="shared" si="2"/>
        <v>-</v>
      </c>
      <c r="S22" s="1069" t="str">
        <f t="shared" si="2"/>
        <v>-</v>
      </c>
      <c r="T22" s="1069" t="str">
        <f t="shared" si="2"/>
        <v>-</v>
      </c>
      <c r="U22" s="1068" t="str">
        <f t="shared" si="2"/>
        <v>-</v>
      </c>
      <c r="V22" s="1067">
        <f t="shared" si="3"/>
        <v>13.7712</v>
      </c>
      <c r="X22" s="1043"/>
    </row>
    <row r="23" spans="1:24" s="1066" customFormat="1" ht="15" customHeight="1">
      <c r="A23" s="1078"/>
      <c r="B23" s="1075"/>
      <c r="C23" s="1074">
        <v>14</v>
      </c>
      <c r="D23" s="1073">
        <v>1</v>
      </c>
      <c r="E23" s="1072">
        <v>2</v>
      </c>
      <c r="F23" s="1071">
        <v>5.7</v>
      </c>
      <c r="G23" s="1070" t="str">
        <f t="shared" si="2"/>
        <v>-</v>
      </c>
      <c r="H23" s="1069" t="str">
        <f t="shared" si="2"/>
        <v>-</v>
      </c>
      <c r="I23" s="1069" t="str">
        <f t="shared" si="2"/>
        <v>-</v>
      </c>
      <c r="J23" s="1069">
        <f t="shared" si="2"/>
        <v>11.4</v>
      </c>
      <c r="K23" s="1069" t="str">
        <f t="shared" si="2"/>
        <v>-</v>
      </c>
      <c r="L23" s="1069" t="str">
        <f t="shared" si="2"/>
        <v>-</v>
      </c>
      <c r="M23" s="1069" t="str">
        <f t="shared" si="2"/>
        <v>-</v>
      </c>
      <c r="N23" s="1069" t="str">
        <f t="shared" si="2"/>
        <v>-</v>
      </c>
      <c r="O23" s="1069" t="str">
        <f t="shared" si="2"/>
        <v>-</v>
      </c>
      <c r="P23" s="1069" t="str">
        <f t="shared" si="2"/>
        <v>-</v>
      </c>
      <c r="Q23" s="1069" t="str">
        <f t="shared" si="2"/>
        <v>-</v>
      </c>
      <c r="R23" s="1069" t="str">
        <f t="shared" si="2"/>
        <v>-</v>
      </c>
      <c r="S23" s="1069" t="str">
        <f t="shared" si="2"/>
        <v>-</v>
      </c>
      <c r="T23" s="1069" t="str">
        <f t="shared" si="2"/>
        <v>-</v>
      </c>
      <c r="U23" s="1068" t="str">
        <f t="shared" si="2"/>
        <v>-</v>
      </c>
      <c r="V23" s="1067">
        <f t="shared" si="3"/>
        <v>13.7712</v>
      </c>
      <c r="X23" s="1043"/>
    </row>
    <row r="24" spans="1:24" s="1066" customFormat="1" ht="15" customHeight="1">
      <c r="A24" s="1078"/>
      <c r="B24" s="1075"/>
      <c r="C24" s="1074">
        <v>8</v>
      </c>
      <c r="D24" s="1073">
        <v>1</v>
      </c>
      <c r="E24" s="1072">
        <f>F22/0.1</f>
        <v>57</v>
      </c>
      <c r="F24" s="1071">
        <v>1.2</v>
      </c>
      <c r="G24" s="1070">
        <f t="shared" si="2"/>
        <v>68.399999999999991</v>
      </c>
      <c r="H24" s="1069" t="str">
        <f t="shared" si="2"/>
        <v>-</v>
      </c>
      <c r="I24" s="1069" t="str">
        <f t="shared" si="2"/>
        <v>-</v>
      </c>
      <c r="J24" s="1069" t="str">
        <f t="shared" si="2"/>
        <v>-</v>
      </c>
      <c r="K24" s="1069" t="str">
        <f t="shared" si="2"/>
        <v>-</v>
      </c>
      <c r="L24" s="1069" t="str">
        <f t="shared" si="2"/>
        <v>-</v>
      </c>
      <c r="M24" s="1069" t="str">
        <f t="shared" si="2"/>
        <v>-</v>
      </c>
      <c r="N24" s="1069" t="str">
        <f t="shared" si="2"/>
        <v>-</v>
      </c>
      <c r="O24" s="1069" t="str">
        <f t="shared" si="2"/>
        <v>-</v>
      </c>
      <c r="P24" s="1069" t="str">
        <f t="shared" si="2"/>
        <v>-</v>
      </c>
      <c r="Q24" s="1069" t="str">
        <f t="shared" si="2"/>
        <v>-</v>
      </c>
      <c r="R24" s="1069" t="str">
        <f t="shared" si="2"/>
        <v>-</v>
      </c>
      <c r="S24" s="1069" t="str">
        <f t="shared" si="2"/>
        <v>-</v>
      </c>
      <c r="T24" s="1069" t="str">
        <f t="shared" si="2"/>
        <v>-</v>
      </c>
      <c r="U24" s="1068" t="str">
        <f t="shared" si="2"/>
        <v>-</v>
      </c>
      <c r="V24" s="1067">
        <f t="shared" si="3"/>
        <v>27.017999999999997</v>
      </c>
      <c r="X24" s="1043"/>
    </row>
    <row r="25" spans="1:24" s="1066" customFormat="1" ht="15" customHeight="1">
      <c r="A25" s="1078"/>
      <c r="B25" s="1082" t="s">
        <v>373</v>
      </c>
      <c r="C25" s="1074">
        <v>16</v>
      </c>
      <c r="D25" s="1073">
        <v>1</v>
      </c>
      <c r="E25" s="1072">
        <v>2</v>
      </c>
      <c r="F25" s="1071">
        <v>7.8</v>
      </c>
      <c r="G25" s="1070" t="str">
        <f t="shared" ref="G25:U34" si="4">IF($C25=G$3,$D25*$E25*$F25,"-")</f>
        <v>-</v>
      </c>
      <c r="H25" s="1069" t="str">
        <f t="shared" si="4"/>
        <v>-</v>
      </c>
      <c r="I25" s="1069" t="str">
        <f t="shared" si="4"/>
        <v>-</v>
      </c>
      <c r="J25" s="1069" t="str">
        <f t="shared" si="4"/>
        <v>-</v>
      </c>
      <c r="K25" s="1069">
        <f t="shared" si="4"/>
        <v>15.6</v>
      </c>
      <c r="L25" s="1069" t="str">
        <f t="shared" si="4"/>
        <v>-</v>
      </c>
      <c r="M25" s="1069" t="str">
        <f t="shared" si="4"/>
        <v>-</v>
      </c>
      <c r="N25" s="1069" t="str">
        <f t="shared" si="4"/>
        <v>-</v>
      </c>
      <c r="O25" s="1069" t="str">
        <f t="shared" si="4"/>
        <v>-</v>
      </c>
      <c r="P25" s="1069" t="str">
        <f t="shared" si="4"/>
        <v>-</v>
      </c>
      <c r="Q25" s="1069" t="str">
        <f t="shared" si="4"/>
        <v>-</v>
      </c>
      <c r="R25" s="1069" t="str">
        <f t="shared" si="4"/>
        <v>-</v>
      </c>
      <c r="S25" s="1069" t="str">
        <f t="shared" si="4"/>
        <v>-</v>
      </c>
      <c r="T25" s="1069" t="str">
        <f t="shared" si="4"/>
        <v>-</v>
      </c>
      <c r="U25" s="1068" t="str">
        <f t="shared" si="4"/>
        <v>-</v>
      </c>
      <c r="V25" s="1067">
        <f t="shared" si="3"/>
        <v>24.616800000000001</v>
      </c>
      <c r="X25" s="1043"/>
    </row>
    <row r="26" spans="1:24" s="1066" customFormat="1" ht="15" customHeight="1">
      <c r="A26" s="1078"/>
      <c r="B26" s="1075"/>
      <c r="C26" s="1074">
        <v>16</v>
      </c>
      <c r="D26" s="1073">
        <v>1</v>
      </c>
      <c r="E26" s="1072">
        <v>1</v>
      </c>
      <c r="F26" s="1071">
        <v>7.8</v>
      </c>
      <c r="G26" s="1070" t="str">
        <f t="shared" si="4"/>
        <v>-</v>
      </c>
      <c r="H26" s="1069" t="str">
        <f t="shared" si="4"/>
        <v>-</v>
      </c>
      <c r="I26" s="1069" t="str">
        <f t="shared" si="4"/>
        <v>-</v>
      </c>
      <c r="J26" s="1069" t="str">
        <f t="shared" si="4"/>
        <v>-</v>
      </c>
      <c r="K26" s="1069">
        <f t="shared" si="4"/>
        <v>7.8</v>
      </c>
      <c r="L26" s="1069" t="str">
        <f t="shared" si="4"/>
        <v>-</v>
      </c>
      <c r="M26" s="1069" t="str">
        <f t="shared" si="4"/>
        <v>-</v>
      </c>
      <c r="N26" s="1069" t="str">
        <f t="shared" si="4"/>
        <v>-</v>
      </c>
      <c r="O26" s="1069" t="str">
        <f t="shared" si="4"/>
        <v>-</v>
      </c>
      <c r="P26" s="1069" t="str">
        <f t="shared" si="4"/>
        <v>-</v>
      </c>
      <c r="Q26" s="1069" t="str">
        <f t="shared" si="4"/>
        <v>-</v>
      </c>
      <c r="R26" s="1069" t="str">
        <f t="shared" si="4"/>
        <v>-</v>
      </c>
      <c r="S26" s="1069" t="str">
        <f t="shared" si="4"/>
        <v>-</v>
      </c>
      <c r="T26" s="1069" t="str">
        <f t="shared" si="4"/>
        <v>-</v>
      </c>
      <c r="U26" s="1068" t="str">
        <f t="shared" si="4"/>
        <v>-</v>
      </c>
      <c r="V26" s="1067">
        <f t="shared" si="3"/>
        <v>12.308400000000001</v>
      </c>
      <c r="X26" s="1043"/>
    </row>
    <row r="27" spans="1:24" s="1066" customFormat="1" ht="15" customHeight="1">
      <c r="A27" s="1078"/>
      <c r="B27" s="1075"/>
      <c r="C27" s="1074">
        <v>16</v>
      </c>
      <c r="D27" s="1073">
        <v>1</v>
      </c>
      <c r="E27" s="1072">
        <v>2</v>
      </c>
      <c r="F27" s="1071">
        <v>7.8</v>
      </c>
      <c r="G27" s="1070" t="str">
        <f t="shared" si="4"/>
        <v>-</v>
      </c>
      <c r="H27" s="1069" t="str">
        <f t="shared" si="4"/>
        <v>-</v>
      </c>
      <c r="I27" s="1069" t="str">
        <f t="shared" si="4"/>
        <v>-</v>
      </c>
      <c r="J27" s="1069" t="str">
        <f t="shared" si="4"/>
        <v>-</v>
      </c>
      <c r="K27" s="1069">
        <f t="shared" si="4"/>
        <v>15.6</v>
      </c>
      <c r="L27" s="1069" t="str">
        <f t="shared" si="4"/>
        <v>-</v>
      </c>
      <c r="M27" s="1069" t="str">
        <f t="shared" si="4"/>
        <v>-</v>
      </c>
      <c r="N27" s="1069" t="str">
        <f t="shared" si="4"/>
        <v>-</v>
      </c>
      <c r="O27" s="1069" t="str">
        <f t="shared" si="4"/>
        <v>-</v>
      </c>
      <c r="P27" s="1069" t="str">
        <f t="shared" si="4"/>
        <v>-</v>
      </c>
      <c r="Q27" s="1069" t="str">
        <f t="shared" si="4"/>
        <v>-</v>
      </c>
      <c r="R27" s="1069" t="str">
        <f t="shared" si="4"/>
        <v>-</v>
      </c>
      <c r="S27" s="1069" t="str">
        <f t="shared" si="4"/>
        <v>-</v>
      </c>
      <c r="T27" s="1069" t="str">
        <f t="shared" si="4"/>
        <v>-</v>
      </c>
      <c r="U27" s="1068" t="str">
        <f t="shared" si="4"/>
        <v>-</v>
      </c>
      <c r="V27" s="1067">
        <f t="shared" si="3"/>
        <v>24.616800000000001</v>
      </c>
      <c r="X27" s="1043"/>
    </row>
    <row r="28" spans="1:24" s="1066" customFormat="1" ht="15" customHeight="1">
      <c r="A28" s="1078"/>
      <c r="B28" s="1075"/>
      <c r="C28" s="1074">
        <v>16</v>
      </c>
      <c r="D28" s="1073">
        <v>1</v>
      </c>
      <c r="E28" s="1072">
        <v>1</v>
      </c>
      <c r="F28" s="1071">
        <v>7.8</v>
      </c>
      <c r="G28" s="1070" t="str">
        <f t="shared" si="4"/>
        <v>-</v>
      </c>
      <c r="H28" s="1069" t="str">
        <f t="shared" si="4"/>
        <v>-</v>
      </c>
      <c r="I28" s="1069" t="str">
        <f t="shared" si="4"/>
        <v>-</v>
      </c>
      <c r="J28" s="1069" t="str">
        <f t="shared" si="4"/>
        <v>-</v>
      </c>
      <c r="K28" s="1069">
        <f t="shared" si="4"/>
        <v>7.8</v>
      </c>
      <c r="L28" s="1069" t="str">
        <f t="shared" si="4"/>
        <v>-</v>
      </c>
      <c r="M28" s="1069" t="str">
        <f t="shared" si="4"/>
        <v>-</v>
      </c>
      <c r="N28" s="1069" t="str">
        <f t="shared" si="4"/>
        <v>-</v>
      </c>
      <c r="O28" s="1069" t="str">
        <f t="shared" si="4"/>
        <v>-</v>
      </c>
      <c r="P28" s="1069" t="str">
        <f t="shared" si="4"/>
        <v>-</v>
      </c>
      <c r="Q28" s="1069" t="str">
        <f t="shared" si="4"/>
        <v>-</v>
      </c>
      <c r="R28" s="1069" t="str">
        <f t="shared" si="4"/>
        <v>-</v>
      </c>
      <c r="S28" s="1069" t="str">
        <f t="shared" si="4"/>
        <v>-</v>
      </c>
      <c r="T28" s="1069" t="str">
        <f t="shared" si="4"/>
        <v>-</v>
      </c>
      <c r="U28" s="1068" t="str">
        <f t="shared" si="4"/>
        <v>-</v>
      </c>
      <c r="V28" s="1067">
        <f t="shared" si="3"/>
        <v>12.308400000000001</v>
      </c>
      <c r="X28" s="1043"/>
    </row>
    <row r="29" spans="1:24" s="1066" customFormat="1" ht="23.1" customHeight="1">
      <c r="A29" s="1076"/>
      <c r="B29" s="1081"/>
      <c r="C29" s="1074">
        <v>8</v>
      </c>
      <c r="D29" s="1073">
        <v>1</v>
      </c>
      <c r="E29" s="1072">
        <f>F25/0.1</f>
        <v>78</v>
      </c>
      <c r="F29" s="1080">
        <v>1.2</v>
      </c>
      <c r="G29" s="1070">
        <f t="shared" si="4"/>
        <v>93.6</v>
      </c>
      <c r="H29" s="1069" t="str">
        <f t="shared" si="4"/>
        <v>-</v>
      </c>
      <c r="I29" s="1069" t="str">
        <f t="shared" si="4"/>
        <v>-</v>
      </c>
      <c r="J29" s="1069" t="str">
        <f t="shared" si="4"/>
        <v>-</v>
      </c>
      <c r="K29" s="1069" t="str">
        <f t="shared" si="4"/>
        <v>-</v>
      </c>
      <c r="L29" s="1069" t="str">
        <f t="shared" si="4"/>
        <v>-</v>
      </c>
      <c r="M29" s="1069" t="str">
        <f t="shared" si="4"/>
        <v>-</v>
      </c>
      <c r="N29" s="1069" t="str">
        <f t="shared" si="4"/>
        <v>-</v>
      </c>
      <c r="O29" s="1069" t="str">
        <f t="shared" si="4"/>
        <v>-</v>
      </c>
      <c r="P29" s="1069" t="str">
        <f t="shared" si="4"/>
        <v>-</v>
      </c>
      <c r="Q29" s="1069" t="str">
        <f t="shared" si="4"/>
        <v>-</v>
      </c>
      <c r="R29" s="1069" t="str">
        <f t="shared" si="4"/>
        <v>-</v>
      </c>
      <c r="S29" s="1069" t="str">
        <f t="shared" si="4"/>
        <v>-</v>
      </c>
      <c r="T29" s="1069" t="str">
        <f t="shared" si="4"/>
        <v>-</v>
      </c>
      <c r="U29" s="1068" t="str">
        <f t="shared" si="4"/>
        <v>-</v>
      </c>
      <c r="V29" s="1067">
        <f t="shared" si="3"/>
        <v>36.972000000000001</v>
      </c>
      <c r="X29" s="1043"/>
    </row>
    <row r="30" spans="1:24" s="1066" customFormat="1" ht="15" customHeight="1">
      <c r="A30" s="1076"/>
      <c r="B30" s="1082" t="s">
        <v>374</v>
      </c>
      <c r="C30" s="1074">
        <v>16</v>
      </c>
      <c r="D30" s="1073">
        <v>1</v>
      </c>
      <c r="E30" s="1072">
        <v>2</v>
      </c>
      <c r="F30" s="1071">
        <v>24.3</v>
      </c>
      <c r="G30" s="1070" t="str">
        <f t="shared" si="4"/>
        <v>-</v>
      </c>
      <c r="H30" s="1069" t="str">
        <f t="shared" si="4"/>
        <v>-</v>
      </c>
      <c r="I30" s="1069" t="str">
        <f t="shared" si="4"/>
        <v>-</v>
      </c>
      <c r="J30" s="1069" t="str">
        <f t="shared" si="4"/>
        <v>-</v>
      </c>
      <c r="K30" s="1069">
        <f t="shared" si="4"/>
        <v>48.6</v>
      </c>
      <c r="L30" s="1069" t="str">
        <f t="shared" si="4"/>
        <v>-</v>
      </c>
      <c r="M30" s="1069" t="str">
        <f t="shared" si="4"/>
        <v>-</v>
      </c>
      <c r="N30" s="1069" t="str">
        <f t="shared" si="4"/>
        <v>-</v>
      </c>
      <c r="O30" s="1069" t="str">
        <f t="shared" si="4"/>
        <v>-</v>
      </c>
      <c r="P30" s="1069" t="str">
        <f t="shared" si="4"/>
        <v>-</v>
      </c>
      <c r="Q30" s="1069" t="str">
        <f t="shared" si="4"/>
        <v>-</v>
      </c>
      <c r="R30" s="1069" t="str">
        <f t="shared" si="4"/>
        <v>-</v>
      </c>
      <c r="S30" s="1069" t="str">
        <f t="shared" si="4"/>
        <v>-</v>
      </c>
      <c r="T30" s="1069" t="str">
        <f t="shared" si="4"/>
        <v>-</v>
      </c>
      <c r="U30" s="1068" t="str">
        <f t="shared" si="4"/>
        <v>-</v>
      </c>
      <c r="V30" s="1067">
        <f t="shared" si="3"/>
        <v>76.69080000000001</v>
      </c>
      <c r="X30" s="1043"/>
    </row>
    <row r="31" spans="1:24" s="1066" customFormat="1" ht="15" customHeight="1">
      <c r="A31" s="1076"/>
      <c r="B31" s="1075"/>
      <c r="C31" s="1074">
        <v>16</v>
      </c>
      <c r="D31" s="1073">
        <v>1</v>
      </c>
      <c r="E31" s="1072">
        <v>1</v>
      </c>
      <c r="F31" s="1071">
        <v>24.3</v>
      </c>
      <c r="G31" s="1070" t="str">
        <f t="shared" si="4"/>
        <v>-</v>
      </c>
      <c r="H31" s="1069" t="str">
        <f t="shared" si="4"/>
        <v>-</v>
      </c>
      <c r="I31" s="1069" t="str">
        <f t="shared" si="4"/>
        <v>-</v>
      </c>
      <c r="J31" s="1069" t="str">
        <f t="shared" si="4"/>
        <v>-</v>
      </c>
      <c r="K31" s="1069">
        <f t="shared" si="4"/>
        <v>24.3</v>
      </c>
      <c r="L31" s="1069" t="str">
        <f t="shared" si="4"/>
        <v>-</v>
      </c>
      <c r="M31" s="1069" t="str">
        <f t="shared" si="4"/>
        <v>-</v>
      </c>
      <c r="N31" s="1069" t="str">
        <f t="shared" si="4"/>
        <v>-</v>
      </c>
      <c r="O31" s="1069" t="str">
        <f t="shared" si="4"/>
        <v>-</v>
      </c>
      <c r="P31" s="1069" t="str">
        <f t="shared" si="4"/>
        <v>-</v>
      </c>
      <c r="Q31" s="1069" t="str">
        <f t="shared" si="4"/>
        <v>-</v>
      </c>
      <c r="R31" s="1069" t="str">
        <f t="shared" si="4"/>
        <v>-</v>
      </c>
      <c r="S31" s="1069" t="str">
        <f t="shared" si="4"/>
        <v>-</v>
      </c>
      <c r="T31" s="1069" t="str">
        <f t="shared" si="4"/>
        <v>-</v>
      </c>
      <c r="U31" s="1068" t="str">
        <f t="shared" si="4"/>
        <v>-</v>
      </c>
      <c r="V31" s="1067">
        <f t="shared" si="3"/>
        <v>38.345400000000005</v>
      </c>
      <c r="X31" s="1043"/>
    </row>
    <row r="32" spans="1:24" s="1066" customFormat="1" ht="15" customHeight="1">
      <c r="A32" s="1076"/>
      <c r="B32" s="1075"/>
      <c r="C32" s="1074">
        <v>16</v>
      </c>
      <c r="D32" s="1073">
        <v>1</v>
      </c>
      <c r="E32" s="1072">
        <v>2</v>
      </c>
      <c r="F32" s="1071">
        <v>24.3</v>
      </c>
      <c r="G32" s="1070" t="str">
        <f t="shared" si="4"/>
        <v>-</v>
      </c>
      <c r="H32" s="1069" t="str">
        <f t="shared" si="4"/>
        <v>-</v>
      </c>
      <c r="I32" s="1069" t="str">
        <f t="shared" si="4"/>
        <v>-</v>
      </c>
      <c r="J32" s="1069" t="str">
        <f t="shared" si="4"/>
        <v>-</v>
      </c>
      <c r="K32" s="1069">
        <f t="shared" si="4"/>
        <v>48.6</v>
      </c>
      <c r="L32" s="1069" t="str">
        <f t="shared" si="4"/>
        <v>-</v>
      </c>
      <c r="M32" s="1069" t="str">
        <f t="shared" si="4"/>
        <v>-</v>
      </c>
      <c r="N32" s="1069" t="str">
        <f t="shared" si="4"/>
        <v>-</v>
      </c>
      <c r="O32" s="1069" t="str">
        <f t="shared" si="4"/>
        <v>-</v>
      </c>
      <c r="P32" s="1069" t="str">
        <f t="shared" si="4"/>
        <v>-</v>
      </c>
      <c r="Q32" s="1069" t="str">
        <f t="shared" si="4"/>
        <v>-</v>
      </c>
      <c r="R32" s="1069" t="str">
        <f t="shared" si="4"/>
        <v>-</v>
      </c>
      <c r="S32" s="1069" t="str">
        <f t="shared" si="4"/>
        <v>-</v>
      </c>
      <c r="T32" s="1069" t="str">
        <f t="shared" si="4"/>
        <v>-</v>
      </c>
      <c r="U32" s="1068" t="str">
        <f t="shared" si="4"/>
        <v>-</v>
      </c>
      <c r="V32" s="1067">
        <f t="shared" si="3"/>
        <v>76.69080000000001</v>
      </c>
      <c r="X32" s="1043"/>
    </row>
    <row r="33" spans="1:24" s="1066" customFormat="1" ht="15" customHeight="1">
      <c r="A33" s="1078"/>
      <c r="B33" s="1075"/>
      <c r="C33" s="1074">
        <v>16</v>
      </c>
      <c r="D33" s="1073">
        <v>1</v>
      </c>
      <c r="E33" s="1072">
        <v>1</v>
      </c>
      <c r="F33" s="1071">
        <v>24.3</v>
      </c>
      <c r="G33" s="1070" t="str">
        <f t="shared" si="4"/>
        <v>-</v>
      </c>
      <c r="H33" s="1069" t="str">
        <f t="shared" si="4"/>
        <v>-</v>
      </c>
      <c r="I33" s="1069" t="str">
        <f t="shared" si="4"/>
        <v>-</v>
      </c>
      <c r="J33" s="1069" t="str">
        <f t="shared" si="4"/>
        <v>-</v>
      </c>
      <c r="K33" s="1069">
        <f t="shared" si="4"/>
        <v>24.3</v>
      </c>
      <c r="L33" s="1069" t="str">
        <f t="shared" si="4"/>
        <v>-</v>
      </c>
      <c r="M33" s="1069" t="str">
        <f t="shared" si="4"/>
        <v>-</v>
      </c>
      <c r="N33" s="1069" t="str">
        <f t="shared" si="4"/>
        <v>-</v>
      </c>
      <c r="O33" s="1069" t="str">
        <f t="shared" si="4"/>
        <v>-</v>
      </c>
      <c r="P33" s="1069" t="str">
        <f t="shared" si="4"/>
        <v>-</v>
      </c>
      <c r="Q33" s="1069" t="str">
        <f t="shared" si="4"/>
        <v>-</v>
      </c>
      <c r="R33" s="1069" t="str">
        <f t="shared" si="4"/>
        <v>-</v>
      </c>
      <c r="S33" s="1069" t="str">
        <f t="shared" si="4"/>
        <v>-</v>
      </c>
      <c r="T33" s="1069" t="str">
        <f t="shared" si="4"/>
        <v>-</v>
      </c>
      <c r="U33" s="1068" t="str">
        <f t="shared" si="4"/>
        <v>-</v>
      </c>
      <c r="V33" s="1067">
        <f t="shared" si="3"/>
        <v>38.345400000000005</v>
      </c>
      <c r="X33" s="1043"/>
    </row>
    <row r="34" spans="1:24" s="1066" customFormat="1" ht="23.1" customHeight="1">
      <c r="A34" s="1076"/>
      <c r="B34" s="1081"/>
      <c r="C34" s="1074">
        <v>8</v>
      </c>
      <c r="D34" s="1073">
        <v>1</v>
      </c>
      <c r="E34" s="1072">
        <f>F30/0.1</f>
        <v>243</v>
      </c>
      <c r="F34" s="1080">
        <v>1.4</v>
      </c>
      <c r="G34" s="1070">
        <f t="shared" si="4"/>
        <v>340.2</v>
      </c>
      <c r="H34" s="1069" t="str">
        <f t="shared" si="4"/>
        <v>-</v>
      </c>
      <c r="I34" s="1069" t="str">
        <f t="shared" si="4"/>
        <v>-</v>
      </c>
      <c r="J34" s="1069" t="str">
        <f t="shared" si="4"/>
        <v>-</v>
      </c>
      <c r="K34" s="1069" t="str">
        <f t="shared" si="4"/>
        <v>-</v>
      </c>
      <c r="L34" s="1069" t="str">
        <f t="shared" si="4"/>
        <v>-</v>
      </c>
      <c r="M34" s="1069" t="str">
        <f t="shared" si="4"/>
        <v>-</v>
      </c>
      <c r="N34" s="1069" t="str">
        <f t="shared" si="4"/>
        <v>-</v>
      </c>
      <c r="O34" s="1069" t="str">
        <f t="shared" si="4"/>
        <v>-</v>
      </c>
      <c r="P34" s="1069" t="str">
        <f t="shared" si="4"/>
        <v>-</v>
      </c>
      <c r="Q34" s="1069" t="str">
        <f t="shared" si="4"/>
        <v>-</v>
      </c>
      <c r="R34" s="1069" t="str">
        <f t="shared" si="4"/>
        <v>-</v>
      </c>
      <c r="S34" s="1069" t="str">
        <f t="shared" si="4"/>
        <v>-</v>
      </c>
      <c r="T34" s="1069" t="str">
        <f t="shared" si="4"/>
        <v>-</v>
      </c>
      <c r="U34" s="1068" t="str">
        <f t="shared" si="4"/>
        <v>-</v>
      </c>
      <c r="V34" s="1067">
        <f t="shared" si="3"/>
        <v>134.37899999999999</v>
      </c>
      <c r="X34" s="1043"/>
    </row>
    <row r="35" spans="1:24" s="1066" customFormat="1" ht="15" customHeight="1">
      <c r="A35" s="1076"/>
      <c r="B35" s="1082" t="s">
        <v>375</v>
      </c>
      <c r="C35" s="1074">
        <v>16</v>
      </c>
      <c r="D35" s="1073">
        <v>1</v>
      </c>
      <c r="E35" s="1072">
        <v>2</v>
      </c>
      <c r="F35" s="1071">
        <v>10.76</v>
      </c>
      <c r="G35" s="1070" t="str">
        <f t="shared" ref="G35:U45" si="5">IF($C35=G$3,$D35*$E35*$F35,"-")</f>
        <v>-</v>
      </c>
      <c r="H35" s="1069" t="str">
        <f t="shared" si="5"/>
        <v>-</v>
      </c>
      <c r="I35" s="1069" t="str">
        <f t="shared" si="5"/>
        <v>-</v>
      </c>
      <c r="J35" s="1069" t="str">
        <f t="shared" si="5"/>
        <v>-</v>
      </c>
      <c r="K35" s="1069">
        <f t="shared" si="5"/>
        <v>21.52</v>
      </c>
      <c r="L35" s="1069" t="str">
        <f t="shared" si="5"/>
        <v>-</v>
      </c>
      <c r="M35" s="1069" t="str">
        <f t="shared" si="5"/>
        <v>-</v>
      </c>
      <c r="N35" s="1069" t="str">
        <f t="shared" si="5"/>
        <v>-</v>
      </c>
      <c r="O35" s="1069" t="str">
        <f t="shared" si="5"/>
        <v>-</v>
      </c>
      <c r="P35" s="1069" t="str">
        <f t="shared" si="5"/>
        <v>-</v>
      </c>
      <c r="Q35" s="1069" t="str">
        <f t="shared" si="5"/>
        <v>-</v>
      </c>
      <c r="R35" s="1069" t="str">
        <f t="shared" si="5"/>
        <v>-</v>
      </c>
      <c r="S35" s="1069" t="str">
        <f t="shared" si="5"/>
        <v>-</v>
      </c>
      <c r="T35" s="1069" t="str">
        <f t="shared" si="5"/>
        <v>-</v>
      </c>
      <c r="U35" s="1068" t="str">
        <f t="shared" si="5"/>
        <v>-</v>
      </c>
      <c r="V35" s="1067">
        <f t="shared" si="3"/>
        <v>33.958559999999999</v>
      </c>
      <c r="X35" s="1043"/>
    </row>
    <row r="36" spans="1:24" s="1066" customFormat="1" ht="15" customHeight="1">
      <c r="A36" s="1076"/>
      <c r="B36" s="1075"/>
      <c r="C36" s="1074">
        <v>16</v>
      </c>
      <c r="D36" s="1073">
        <v>1</v>
      </c>
      <c r="E36" s="1072">
        <v>2</v>
      </c>
      <c r="F36" s="1071">
        <v>10.76</v>
      </c>
      <c r="G36" s="1070" t="str">
        <f t="shared" si="5"/>
        <v>-</v>
      </c>
      <c r="H36" s="1069" t="str">
        <f t="shared" si="5"/>
        <v>-</v>
      </c>
      <c r="I36" s="1069" t="str">
        <f t="shared" si="5"/>
        <v>-</v>
      </c>
      <c r="J36" s="1069" t="str">
        <f t="shared" si="5"/>
        <v>-</v>
      </c>
      <c r="K36" s="1069">
        <f t="shared" si="5"/>
        <v>21.52</v>
      </c>
      <c r="L36" s="1069" t="str">
        <f t="shared" si="5"/>
        <v>-</v>
      </c>
      <c r="M36" s="1069" t="str">
        <f t="shared" si="5"/>
        <v>-</v>
      </c>
      <c r="N36" s="1069" t="str">
        <f t="shared" si="5"/>
        <v>-</v>
      </c>
      <c r="O36" s="1069" t="str">
        <f t="shared" si="5"/>
        <v>-</v>
      </c>
      <c r="P36" s="1069" t="str">
        <f t="shared" si="5"/>
        <v>-</v>
      </c>
      <c r="Q36" s="1069" t="str">
        <f t="shared" si="5"/>
        <v>-</v>
      </c>
      <c r="R36" s="1069" t="str">
        <f t="shared" si="5"/>
        <v>-</v>
      </c>
      <c r="S36" s="1069" t="str">
        <f t="shared" si="5"/>
        <v>-</v>
      </c>
      <c r="T36" s="1069" t="str">
        <f t="shared" si="5"/>
        <v>-</v>
      </c>
      <c r="U36" s="1068" t="str">
        <f t="shared" si="5"/>
        <v>-</v>
      </c>
      <c r="V36" s="1067">
        <f t="shared" si="3"/>
        <v>33.958559999999999</v>
      </c>
      <c r="X36" s="1043"/>
    </row>
    <row r="37" spans="1:24" s="1066" customFormat="1" ht="15" customHeight="1">
      <c r="A37" s="1076"/>
      <c r="B37" s="1075"/>
      <c r="C37" s="1074">
        <v>16</v>
      </c>
      <c r="D37" s="1073">
        <v>1</v>
      </c>
      <c r="E37" s="1072">
        <v>2</v>
      </c>
      <c r="F37" s="1071">
        <v>10.76</v>
      </c>
      <c r="G37" s="1070" t="str">
        <f t="shared" si="5"/>
        <v>-</v>
      </c>
      <c r="H37" s="1069" t="str">
        <f t="shared" si="5"/>
        <v>-</v>
      </c>
      <c r="I37" s="1069" t="str">
        <f t="shared" si="5"/>
        <v>-</v>
      </c>
      <c r="J37" s="1069" t="str">
        <f t="shared" si="5"/>
        <v>-</v>
      </c>
      <c r="K37" s="1069">
        <f t="shared" si="5"/>
        <v>21.52</v>
      </c>
      <c r="L37" s="1069" t="str">
        <f t="shared" si="5"/>
        <v>-</v>
      </c>
      <c r="M37" s="1069" t="str">
        <f t="shared" si="5"/>
        <v>-</v>
      </c>
      <c r="N37" s="1069" t="str">
        <f t="shared" si="5"/>
        <v>-</v>
      </c>
      <c r="O37" s="1069" t="str">
        <f t="shared" si="5"/>
        <v>-</v>
      </c>
      <c r="P37" s="1069" t="str">
        <f t="shared" si="5"/>
        <v>-</v>
      </c>
      <c r="Q37" s="1069" t="str">
        <f t="shared" si="5"/>
        <v>-</v>
      </c>
      <c r="R37" s="1069" t="str">
        <f t="shared" si="5"/>
        <v>-</v>
      </c>
      <c r="S37" s="1069" t="str">
        <f t="shared" si="5"/>
        <v>-</v>
      </c>
      <c r="T37" s="1069" t="str">
        <f t="shared" si="5"/>
        <v>-</v>
      </c>
      <c r="U37" s="1068" t="str">
        <f t="shared" si="5"/>
        <v>-</v>
      </c>
      <c r="V37" s="1067">
        <f t="shared" si="3"/>
        <v>33.958559999999999</v>
      </c>
      <c r="X37" s="1043"/>
    </row>
    <row r="38" spans="1:24" s="1066" customFormat="1" ht="15" customHeight="1">
      <c r="A38" s="1078"/>
      <c r="B38" s="1075"/>
      <c r="C38" s="1074">
        <v>16</v>
      </c>
      <c r="D38" s="1073">
        <v>1</v>
      </c>
      <c r="E38" s="1072">
        <v>2</v>
      </c>
      <c r="F38" s="1071">
        <v>10.76</v>
      </c>
      <c r="G38" s="1070" t="str">
        <f t="shared" si="5"/>
        <v>-</v>
      </c>
      <c r="H38" s="1069" t="str">
        <f t="shared" si="5"/>
        <v>-</v>
      </c>
      <c r="I38" s="1069" t="str">
        <f t="shared" si="5"/>
        <v>-</v>
      </c>
      <c r="J38" s="1069" t="str">
        <f t="shared" si="5"/>
        <v>-</v>
      </c>
      <c r="K38" s="1069">
        <f t="shared" si="5"/>
        <v>21.52</v>
      </c>
      <c r="L38" s="1069" t="str">
        <f t="shared" si="5"/>
        <v>-</v>
      </c>
      <c r="M38" s="1069" t="str">
        <f t="shared" si="5"/>
        <v>-</v>
      </c>
      <c r="N38" s="1069" t="str">
        <f t="shared" si="5"/>
        <v>-</v>
      </c>
      <c r="O38" s="1069" t="str">
        <f t="shared" si="5"/>
        <v>-</v>
      </c>
      <c r="P38" s="1069" t="str">
        <f t="shared" si="5"/>
        <v>-</v>
      </c>
      <c r="Q38" s="1069" t="str">
        <f t="shared" si="5"/>
        <v>-</v>
      </c>
      <c r="R38" s="1069" t="str">
        <f t="shared" si="5"/>
        <v>-</v>
      </c>
      <c r="S38" s="1069" t="str">
        <f t="shared" si="5"/>
        <v>-</v>
      </c>
      <c r="T38" s="1069" t="str">
        <f t="shared" si="5"/>
        <v>-</v>
      </c>
      <c r="U38" s="1068" t="str">
        <f t="shared" si="5"/>
        <v>-</v>
      </c>
      <c r="V38" s="1067">
        <f t="shared" si="3"/>
        <v>33.958559999999999</v>
      </c>
      <c r="X38" s="1043"/>
    </row>
    <row r="39" spans="1:24" s="1066" customFormat="1" ht="15" customHeight="1">
      <c r="A39" s="1078"/>
      <c r="B39" s="1081"/>
      <c r="C39" s="1074">
        <v>8</v>
      </c>
      <c r="D39" s="1073">
        <v>1</v>
      </c>
      <c r="E39" s="1072">
        <f>F35/0.1</f>
        <v>107.6</v>
      </c>
      <c r="F39" s="1080">
        <v>1.4</v>
      </c>
      <c r="G39" s="1070">
        <f t="shared" si="5"/>
        <v>150.63999999999999</v>
      </c>
      <c r="H39" s="1069" t="str">
        <f t="shared" si="5"/>
        <v>-</v>
      </c>
      <c r="I39" s="1069" t="str">
        <f t="shared" si="5"/>
        <v>-</v>
      </c>
      <c r="J39" s="1069" t="str">
        <f t="shared" si="5"/>
        <v>-</v>
      </c>
      <c r="K39" s="1069" t="str">
        <f t="shared" si="5"/>
        <v>-</v>
      </c>
      <c r="L39" s="1069" t="str">
        <f t="shared" si="5"/>
        <v>-</v>
      </c>
      <c r="M39" s="1069" t="str">
        <f t="shared" si="5"/>
        <v>-</v>
      </c>
      <c r="N39" s="1069" t="str">
        <f t="shared" si="5"/>
        <v>-</v>
      </c>
      <c r="O39" s="1069" t="str">
        <f t="shared" si="5"/>
        <v>-</v>
      </c>
      <c r="P39" s="1069" t="str">
        <f t="shared" si="5"/>
        <v>-</v>
      </c>
      <c r="Q39" s="1069" t="str">
        <f t="shared" si="5"/>
        <v>-</v>
      </c>
      <c r="R39" s="1069" t="str">
        <f t="shared" si="5"/>
        <v>-</v>
      </c>
      <c r="S39" s="1069" t="str">
        <f t="shared" si="5"/>
        <v>-</v>
      </c>
      <c r="T39" s="1069" t="str">
        <f t="shared" si="5"/>
        <v>-</v>
      </c>
      <c r="U39" s="1068" t="str">
        <f t="shared" si="5"/>
        <v>-</v>
      </c>
      <c r="V39" s="1067">
        <f t="shared" si="3"/>
        <v>59.502800000000001</v>
      </c>
      <c r="X39" s="1043"/>
    </row>
    <row r="40" spans="1:24" s="1066" customFormat="1" ht="15" customHeight="1">
      <c r="A40" s="1078"/>
      <c r="B40" s="1082" t="s">
        <v>670</v>
      </c>
      <c r="C40" s="1074">
        <v>16</v>
      </c>
      <c r="D40" s="1073">
        <v>1</v>
      </c>
      <c r="E40" s="1072">
        <v>3</v>
      </c>
      <c r="F40" s="1071">
        <v>31.9</v>
      </c>
      <c r="G40" s="1070" t="str">
        <f t="shared" si="5"/>
        <v>-</v>
      </c>
      <c r="H40" s="1069" t="str">
        <f t="shared" si="5"/>
        <v>-</v>
      </c>
      <c r="I40" s="1069" t="str">
        <f t="shared" si="5"/>
        <v>-</v>
      </c>
      <c r="J40" s="1069" t="str">
        <f t="shared" si="5"/>
        <v>-</v>
      </c>
      <c r="K40" s="1069">
        <f t="shared" si="5"/>
        <v>95.699999999999989</v>
      </c>
      <c r="L40" s="1069" t="str">
        <f t="shared" si="5"/>
        <v>-</v>
      </c>
      <c r="M40" s="1069" t="str">
        <f t="shared" si="5"/>
        <v>-</v>
      </c>
      <c r="N40" s="1069" t="str">
        <f t="shared" si="5"/>
        <v>-</v>
      </c>
      <c r="O40" s="1069" t="str">
        <f t="shared" si="5"/>
        <v>-</v>
      </c>
      <c r="P40" s="1069" t="str">
        <f t="shared" si="5"/>
        <v>-</v>
      </c>
      <c r="Q40" s="1069" t="str">
        <f t="shared" si="5"/>
        <v>-</v>
      </c>
      <c r="R40" s="1069" t="str">
        <f t="shared" si="5"/>
        <v>-</v>
      </c>
      <c r="S40" s="1069" t="str">
        <f t="shared" si="5"/>
        <v>-</v>
      </c>
      <c r="T40" s="1069" t="str">
        <f t="shared" si="5"/>
        <v>-</v>
      </c>
      <c r="U40" s="1068" t="str">
        <f t="shared" si="5"/>
        <v>-</v>
      </c>
      <c r="V40" s="1067">
        <f t="shared" si="3"/>
        <v>151.0146</v>
      </c>
      <c r="X40" s="1043"/>
    </row>
    <row r="41" spans="1:24" s="1066" customFormat="1" ht="15" customHeight="1">
      <c r="A41" s="1078"/>
      <c r="B41" s="1075"/>
      <c r="C41" s="1074">
        <v>16</v>
      </c>
      <c r="D41" s="1073">
        <v>1</v>
      </c>
      <c r="E41" s="1072">
        <v>2</v>
      </c>
      <c r="F41" s="1071">
        <v>31.9</v>
      </c>
      <c r="G41" s="1070" t="str">
        <f t="shared" si="5"/>
        <v>-</v>
      </c>
      <c r="H41" s="1069" t="str">
        <f t="shared" si="5"/>
        <v>-</v>
      </c>
      <c r="I41" s="1069" t="str">
        <f t="shared" si="5"/>
        <v>-</v>
      </c>
      <c r="J41" s="1069" t="str">
        <f t="shared" si="5"/>
        <v>-</v>
      </c>
      <c r="K41" s="1069">
        <f t="shared" si="5"/>
        <v>63.8</v>
      </c>
      <c r="L41" s="1069" t="str">
        <f t="shared" si="5"/>
        <v>-</v>
      </c>
      <c r="M41" s="1069" t="str">
        <f t="shared" si="5"/>
        <v>-</v>
      </c>
      <c r="N41" s="1069" t="str">
        <f t="shared" si="5"/>
        <v>-</v>
      </c>
      <c r="O41" s="1069" t="str">
        <f t="shared" si="5"/>
        <v>-</v>
      </c>
      <c r="P41" s="1069" t="str">
        <f t="shared" si="5"/>
        <v>-</v>
      </c>
      <c r="Q41" s="1069" t="str">
        <f t="shared" si="5"/>
        <v>-</v>
      </c>
      <c r="R41" s="1069" t="str">
        <f t="shared" si="5"/>
        <v>-</v>
      </c>
      <c r="S41" s="1069" t="str">
        <f t="shared" si="5"/>
        <v>-</v>
      </c>
      <c r="T41" s="1069" t="str">
        <f t="shared" si="5"/>
        <v>-</v>
      </c>
      <c r="U41" s="1068" t="str">
        <f t="shared" si="5"/>
        <v>-</v>
      </c>
      <c r="V41" s="1067">
        <f t="shared" si="3"/>
        <v>100.6764</v>
      </c>
      <c r="X41" s="1043"/>
    </row>
    <row r="42" spans="1:24" s="1066" customFormat="1" ht="15" customHeight="1">
      <c r="A42" s="1078"/>
      <c r="B42" s="1075"/>
      <c r="C42" s="1074">
        <v>16</v>
      </c>
      <c r="D42" s="1073">
        <v>1</v>
      </c>
      <c r="E42" s="1072">
        <v>2</v>
      </c>
      <c r="F42" s="1071">
        <v>31.9</v>
      </c>
      <c r="G42" s="1070" t="str">
        <f t="shared" si="5"/>
        <v>-</v>
      </c>
      <c r="H42" s="1069" t="str">
        <f t="shared" si="5"/>
        <v>-</v>
      </c>
      <c r="I42" s="1069" t="str">
        <f t="shared" si="5"/>
        <v>-</v>
      </c>
      <c r="J42" s="1069" t="str">
        <f t="shared" si="5"/>
        <v>-</v>
      </c>
      <c r="K42" s="1069">
        <f t="shared" si="5"/>
        <v>63.8</v>
      </c>
      <c r="L42" s="1069" t="str">
        <f t="shared" si="5"/>
        <v>-</v>
      </c>
      <c r="M42" s="1069" t="str">
        <f t="shared" si="5"/>
        <v>-</v>
      </c>
      <c r="N42" s="1069" t="str">
        <f t="shared" si="5"/>
        <v>-</v>
      </c>
      <c r="O42" s="1069" t="str">
        <f t="shared" si="5"/>
        <v>-</v>
      </c>
      <c r="P42" s="1069" t="str">
        <f t="shared" si="5"/>
        <v>-</v>
      </c>
      <c r="Q42" s="1069" t="str">
        <f t="shared" si="5"/>
        <v>-</v>
      </c>
      <c r="R42" s="1069" t="str">
        <f t="shared" si="5"/>
        <v>-</v>
      </c>
      <c r="S42" s="1069" t="str">
        <f t="shared" si="5"/>
        <v>-</v>
      </c>
      <c r="T42" s="1069" t="str">
        <f t="shared" si="5"/>
        <v>-</v>
      </c>
      <c r="U42" s="1068" t="str">
        <f t="shared" si="5"/>
        <v>-</v>
      </c>
      <c r="V42" s="1067">
        <f t="shared" si="3"/>
        <v>100.6764</v>
      </c>
      <c r="X42" s="1043"/>
    </row>
    <row r="43" spans="1:24" s="1066" customFormat="1" ht="15" customHeight="1">
      <c r="A43" s="1078"/>
      <c r="B43" s="1075"/>
      <c r="C43" s="1074">
        <v>16</v>
      </c>
      <c r="D43" s="1073">
        <v>1</v>
      </c>
      <c r="E43" s="1072">
        <v>2</v>
      </c>
      <c r="F43" s="1071">
        <v>31.9</v>
      </c>
      <c r="G43" s="1070" t="str">
        <f t="shared" si="5"/>
        <v>-</v>
      </c>
      <c r="H43" s="1069" t="str">
        <f t="shared" si="5"/>
        <v>-</v>
      </c>
      <c r="I43" s="1069" t="str">
        <f t="shared" si="5"/>
        <v>-</v>
      </c>
      <c r="J43" s="1069" t="str">
        <f t="shared" si="5"/>
        <v>-</v>
      </c>
      <c r="K43" s="1069">
        <f t="shared" si="5"/>
        <v>63.8</v>
      </c>
      <c r="L43" s="1069" t="str">
        <f t="shared" si="5"/>
        <v>-</v>
      </c>
      <c r="M43" s="1069" t="str">
        <f t="shared" si="5"/>
        <v>-</v>
      </c>
      <c r="N43" s="1069" t="str">
        <f t="shared" si="5"/>
        <v>-</v>
      </c>
      <c r="O43" s="1069" t="str">
        <f t="shared" si="5"/>
        <v>-</v>
      </c>
      <c r="P43" s="1069" t="str">
        <f t="shared" si="5"/>
        <v>-</v>
      </c>
      <c r="Q43" s="1069" t="str">
        <f t="shared" si="5"/>
        <v>-</v>
      </c>
      <c r="R43" s="1069" t="str">
        <f t="shared" si="5"/>
        <v>-</v>
      </c>
      <c r="S43" s="1069" t="str">
        <f t="shared" si="5"/>
        <v>-</v>
      </c>
      <c r="T43" s="1069" t="str">
        <f t="shared" si="5"/>
        <v>-</v>
      </c>
      <c r="U43" s="1068" t="str">
        <f t="shared" si="5"/>
        <v>-</v>
      </c>
      <c r="V43" s="1067">
        <f t="shared" si="3"/>
        <v>100.6764</v>
      </c>
      <c r="X43" s="1043"/>
    </row>
    <row r="44" spans="1:24" s="1066" customFormat="1" ht="15" customHeight="1">
      <c r="A44" s="1076"/>
      <c r="B44" s="1081"/>
      <c r="C44" s="1074">
        <v>8</v>
      </c>
      <c r="D44" s="1073">
        <v>1</v>
      </c>
      <c r="E44" s="1072">
        <f>F40/0.075</f>
        <v>425.33333333333331</v>
      </c>
      <c r="F44" s="1080">
        <v>1.4</v>
      </c>
      <c r="G44" s="1070">
        <f t="shared" si="5"/>
        <v>595.46666666666658</v>
      </c>
      <c r="H44" s="1069" t="str">
        <f t="shared" si="5"/>
        <v>-</v>
      </c>
      <c r="I44" s="1069" t="str">
        <f t="shared" si="5"/>
        <v>-</v>
      </c>
      <c r="J44" s="1069" t="str">
        <f t="shared" si="5"/>
        <v>-</v>
      </c>
      <c r="K44" s="1069" t="str">
        <f t="shared" si="5"/>
        <v>-</v>
      </c>
      <c r="L44" s="1069" t="str">
        <f t="shared" si="5"/>
        <v>-</v>
      </c>
      <c r="M44" s="1069" t="str">
        <f t="shared" si="5"/>
        <v>-</v>
      </c>
      <c r="N44" s="1069" t="str">
        <f t="shared" si="5"/>
        <v>-</v>
      </c>
      <c r="O44" s="1069" t="str">
        <f t="shared" si="5"/>
        <v>-</v>
      </c>
      <c r="P44" s="1069" t="str">
        <f t="shared" si="5"/>
        <v>-</v>
      </c>
      <c r="Q44" s="1069" t="str">
        <f t="shared" si="5"/>
        <v>-</v>
      </c>
      <c r="R44" s="1069" t="str">
        <f t="shared" si="5"/>
        <v>-</v>
      </c>
      <c r="S44" s="1069" t="str">
        <f t="shared" si="5"/>
        <v>-</v>
      </c>
      <c r="T44" s="1069" t="str">
        <f t="shared" si="5"/>
        <v>-</v>
      </c>
      <c r="U44" s="1068" t="str">
        <f t="shared" si="5"/>
        <v>-</v>
      </c>
      <c r="V44" s="1067">
        <f t="shared" si="3"/>
        <v>235.20933333333332</v>
      </c>
      <c r="X44" s="1043"/>
    </row>
    <row r="45" spans="1:24" s="1066" customFormat="1" ht="15" customHeight="1">
      <c r="A45" s="1078"/>
      <c r="B45" s="1075"/>
      <c r="C45" s="1074"/>
      <c r="D45" s="1073"/>
      <c r="E45" s="1072"/>
      <c r="F45" s="1071"/>
      <c r="G45" s="1070" t="str">
        <f t="shared" si="5"/>
        <v>-</v>
      </c>
      <c r="H45" s="1069" t="str">
        <f t="shared" si="5"/>
        <v>-</v>
      </c>
      <c r="I45" s="1069" t="str">
        <f t="shared" si="5"/>
        <v>-</v>
      </c>
      <c r="J45" s="1069" t="str">
        <f t="shared" si="5"/>
        <v>-</v>
      </c>
      <c r="K45" s="1069" t="str">
        <f t="shared" si="5"/>
        <v>-</v>
      </c>
      <c r="L45" s="1069" t="str">
        <f t="shared" si="5"/>
        <v>-</v>
      </c>
      <c r="M45" s="1069" t="str">
        <f t="shared" si="5"/>
        <v>-</v>
      </c>
      <c r="N45" s="1069" t="str">
        <f t="shared" si="5"/>
        <v>-</v>
      </c>
      <c r="O45" s="1069" t="str">
        <f t="shared" si="5"/>
        <v>-</v>
      </c>
      <c r="P45" s="1069" t="str">
        <f t="shared" si="5"/>
        <v>-</v>
      </c>
      <c r="Q45" s="1069" t="str">
        <f t="shared" si="5"/>
        <v>-</v>
      </c>
      <c r="R45" s="1069" t="str">
        <f t="shared" si="5"/>
        <v>-</v>
      </c>
      <c r="S45" s="1069" t="str">
        <f t="shared" si="5"/>
        <v>-</v>
      </c>
      <c r="T45" s="1069" t="str">
        <f t="shared" si="5"/>
        <v>-</v>
      </c>
      <c r="U45" s="1068" t="str">
        <f t="shared" si="5"/>
        <v>-</v>
      </c>
      <c r="V45" s="1067">
        <f t="shared" si="3"/>
        <v>0</v>
      </c>
      <c r="X45" s="1043"/>
    </row>
    <row r="46" spans="1:24" s="1066" customFormat="1" ht="15" customHeight="1" thickBot="1">
      <c r="A46" s="1078"/>
      <c r="B46" s="1077"/>
      <c r="C46" s="1074"/>
      <c r="D46" s="1073"/>
      <c r="E46" s="1072"/>
      <c r="F46" s="1071"/>
      <c r="G46" s="1070"/>
      <c r="H46" s="1069"/>
      <c r="I46" s="1069"/>
      <c r="J46" s="1069"/>
      <c r="K46" s="1069"/>
      <c r="L46" s="1069"/>
      <c r="M46" s="1069"/>
      <c r="N46" s="1069"/>
      <c r="O46" s="1069"/>
      <c r="P46" s="1069"/>
      <c r="Q46" s="1069"/>
      <c r="R46" s="1069"/>
      <c r="S46" s="1069"/>
      <c r="T46" s="1069"/>
      <c r="U46" s="1068"/>
      <c r="V46" s="1067"/>
      <c r="X46" s="1043"/>
    </row>
    <row r="47" spans="1:24" s="1066" customFormat="1" ht="15" customHeight="1" thickBot="1">
      <c r="A47" s="1091"/>
      <c r="B47" s="1090"/>
      <c r="C47" s="1089"/>
      <c r="D47" s="1088"/>
      <c r="E47" s="1088"/>
      <c r="F47" s="1087" t="s">
        <v>680</v>
      </c>
      <c r="G47" s="1086">
        <f t="shared" ref="G47:V47" si="6">SUM(G5:G46)</f>
        <v>1659.1066666666666</v>
      </c>
      <c r="H47" s="1086">
        <f t="shared" si="6"/>
        <v>0</v>
      </c>
      <c r="I47" s="1086">
        <f t="shared" si="6"/>
        <v>0</v>
      </c>
      <c r="J47" s="1086">
        <f t="shared" si="6"/>
        <v>319.29999999999995</v>
      </c>
      <c r="K47" s="1086">
        <f t="shared" si="6"/>
        <v>1217.5799999999997</v>
      </c>
      <c r="L47" s="1086">
        <f t="shared" si="6"/>
        <v>0</v>
      </c>
      <c r="M47" s="1086">
        <f t="shared" si="6"/>
        <v>0</v>
      </c>
      <c r="N47" s="1086">
        <f t="shared" si="6"/>
        <v>0</v>
      </c>
      <c r="O47" s="1086">
        <f t="shared" si="6"/>
        <v>0</v>
      </c>
      <c r="P47" s="1086">
        <f t="shared" si="6"/>
        <v>0</v>
      </c>
      <c r="Q47" s="1086">
        <f t="shared" si="6"/>
        <v>0</v>
      </c>
      <c r="R47" s="1086">
        <f t="shared" si="6"/>
        <v>0</v>
      </c>
      <c r="S47" s="1086">
        <f t="shared" si="6"/>
        <v>0</v>
      </c>
      <c r="T47" s="1086">
        <f t="shared" si="6"/>
        <v>0</v>
      </c>
      <c r="U47" s="1086">
        <f t="shared" si="6"/>
        <v>0</v>
      </c>
      <c r="V47" s="1086">
        <f t="shared" si="6"/>
        <v>2962.4027733333328</v>
      </c>
      <c r="X47" s="1043"/>
    </row>
    <row r="48" spans="1:24" s="1066" customFormat="1" ht="15" customHeight="1" thickBot="1">
      <c r="A48" s="1091"/>
      <c r="B48" s="1090"/>
      <c r="C48" s="1089"/>
      <c r="D48" s="1088"/>
      <c r="E48" s="1088"/>
      <c r="F48" s="1087" t="s">
        <v>684</v>
      </c>
      <c r="G48" s="1086">
        <f t="shared" ref="G48:V48" si="7">+G47</f>
        <v>1659.1066666666666</v>
      </c>
      <c r="H48" s="1085">
        <f t="shared" si="7"/>
        <v>0</v>
      </c>
      <c r="I48" s="1085">
        <f t="shared" si="7"/>
        <v>0</v>
      </c>
      <c r="J48" s="1085">
        <f t="shared" si="7"/>
        <v>319.29999999999995</v>
      </c>
      <c r="K48" s="1085">
        <f t="shared" si="7"/>
        <v>1217.5799999999997</v>
      </c>
      <c r="L48" s="1085">
        <f t="shared" si="7"/>
        <v>0</v>
      </c>
      <c r="M48" s="1085">
        <f t="shared" si="7"/>
        <v>0</v>
      </c>
      <c r="N48" s="1085">
        <f t="shared" si="7"/>
        <v>0</v>
      </c>
      <c r="O48" s="1085">
        <f t="shared" si="7"/>
        <v>0</v>
      </c>
      <c r="P48" s="1085">
        <f t="shared" si="7"/>
        <v>0</v>
      </c>
      <c r="Q48" s="1085">
        <f t="shared" si="7"/>
        <v>0</v>
      </c>
      <c r="R48" s="1085">
        <f t="shared" si="7"/>
        <v>0</v>
      </c>
      <c r="S48" s="1085">
        <f t="shared" si="7"/>
        <v>0</v>
      </c>
      <c r="T48" s="1085">
        <f t="shared" si="7"/>
        <v>0</v>
      </c>
      <c r="U48" s="1084">
        <f t="shared" si="7"/>
        <v>0</v>
      </c>
      <c r="V48" s="1083">
        <f t="shared" si="7"/>
        <v>2962.4027733333328</v>
      </c>
      <c r="X48" s="1043"/>
    </row>
    <row r="49" spans="1:24" s="1066" customFormat="1" ht="23.1" customHeight="1">
      <c r="A49" s="1076"/>
      <c r="B49" s="1082" t="s">
        <v>669</v>
      </c>
      <c r="C49" s="1074">
        <v>16</v>
      </c>
      <c r="D49" s="1073">
        <v>1</v>
      </c>
      <c r="E49" s="1072">
        <v>3</v>
      </c>
      <c r="F49" s="1071">
        <v>22.35</v>
      </c>
      <c r="G49" s="1070" t="str">
        <f t="shared" ref="G49:U58" si="8">IF($C49=G$3,$D49*$E49*$F49,"-")</f>
        <v>-</v>
      </c>
      <c r="H49" s="1069" t="str">
        <f t="shared" si="8"/>
        <v>-</v>
      </c>
      <c r="I49" s="1069" t="str">
        <f t="shared" si="8"/>
        <v>-</v>
      </c>
      <c r="J49" s="1069" t="str">
        <f t="shared" si="8"/>
        <v>-</v>
      </c>
      <c r="K49" s="1069">
        <f t="shared" si="8"/>
        <v>67.050000000000011</v>
      </c>
      <c r="L49" s="1069" t="str">
        <f t="shared" si="8"/>
        <v>-</v>
      </c>
      <c r="M49" s="1069" t="str">
        <f t="shared" si="8"/>
        <v>-</v>
      </c>
      <c r="N49" s="1069" t="str">
        <f t="shared" si="8"/>
        <v>-</v>
      </c>
      <c r="O49" s="1069" t="str">
        <f t="shared" si="8"/>
        <v>-</v>
      </c>
      <c r="P49" s="1069" t="str">
        <f t="shared" si="8"/>
        <v>-</v>
      </c>
      <c r="Q49" s="1069" t="str">
        <f t="shared" si="8"/>
        <v>-</v>
      </c>
      <c r="R49" s="1069" t="str">
        <f t="shared" si="8"/>
        <v>-</v>
      </c>
      <c r="S49" s="1069" t="str">
        <f t="shared" si="8"/>
        <v>-</v>
      </c>
      <c r="T49" s="1069" t="str">
        <f t="shared" si="8"/>
        <v>-</v>
      </c>
      <c r="U49" s="1068" t="str">
        <f t="shared" si="8"/>
        <v>-</v>
      </c>
      <c r="V49" s="1067">
        <f t="shared" ref="V49:V80" si="9">SUMPRODUCT(G49:U49,$G$2:$U$2)</f>
        <v>105.80490000000002</v>
      </c>
      <c r="X49" s="1043"/>
    </row>
    <row r="50" spans="1:24" s="1066" customFormat="1" ht="15" customHeight="1">
      <c r="A50" s="1076"/>
      <c r="B50" s="1075"/>
      <c r="C50" s="1074">
        <v>16</v>
      </c>
      <c r="D50" s="1073">
        <v>1</v>
      </c>
      <c r="E50" s="1072">
        <v>2</v>
      </c>
      <c r="F50" s="1071">
        <v>22.35</v>
      </c>
      <c r="G50" s="1070" t="str">
        <f t="shared" si="8"/>
        <v>-</v>
      </c>
      <c r="H50" s="1069" t="str">
        <f t="shared" si="8"/>
        <v>-</v>
      </c>
      <c r="I50" s="1069" t="str">
        <f t="shared" si="8"/>
        <v>-</v>
      </c>
      <c r="J50" s="1069" t="str">
        <f t="shared" si="8"/>
        <v>-</v>
      </c>
      <c r="K50" s="1069">
        <f t="shared" si="8"/>
        <v>44.7</v>
      </c>
      <c r="L50" s="1069" t="str">
        <f t="shared" si="8"/>
        <v>-</v>
      </c>
      <c r="M50" s="1069" t="str">
        <f t="shared" si="8"/>
        <v>-</v>
      </c>
      <c r="N50" s="1069" t="str">
        <f t="shared" si="8"/>
        <v>-</v>
      </c>
      <c r="O50" s="1069" t="str">
        <f t="shared" si="8"/>
        <v>-</v>
      </c>
      <c r="P50" s="1069" t="str">
        <f t="shared" si="8"/>
        <v>-</v>
      </c>
      <c r="Q50" s="1069" t="str">
        <f t="shared" si="8"/>
        <v>-</v>
      </c>
      <c r="R50" s="1069" t="str">
        <f t="shared" si="8"/>
        <v>-</v>
      </c>
      <c r="S50" s="1069" t="str">
        <f t="shared" si="8"/>
        <v>-</v>
      </c>
      <c r="T50" s="1069" t="str">
        <f t="shared" si="8"/>
        <v>-</v>
      </c>
      <c r="U50" s="1068" t="str">
        <f t="shared" si="8"/>
        <v>-</v>
      </c>
      <c r="V50" s="1067">
        <f t="shared" si="9"/>
        <v>70.536600000000007</v>
      </c>
      <c r="X50" s="1043"/>
    </row>
    <row r="51" spans="1:24" s="1066" customFormat="1" ht="15" customHeight="1">
      <c r="A51" s="1076"/>
      <c r="B51" s="1075"/>
      <c r="C51" s="1074">
        <v>16</v>
      </c>
      <c r="D51" s="1073">
        <v>1</v>
      </c>
      <c r="E51" s="1072">
        <v>3</v>
      </c>
      <c r="F51" s="1071">
        <v>22.35</v>
      </c>
      <c r="G51" s="1070" t="str">
        <f t="shared" si="8"/>
        <v>-</v>
      </c>
      <c r="H51" s="1069" t="str">
        <f t="shared" si="8"/>
        <v>-</v>
      </c>
      <c r="I51" s="1069" t="str">
        <f t="shared" si="8"/>
        <v>-</v>
      </c>
      <c r="J51" s="1069" t="str">
        <f t="shared" si="8"/>
        <v>-</v>
      </c>
      <c r="K51" s="1069">
        <f t="shared" si="8"/>
        <v>67.050000000000011</v>
      </c>
      <c r="L51" s="1069" t="str">
        <f t="shared" si="8"/>
        <v>-</v>
      </c>
      <c r="M51" s="1069" t="str">
        <f t="shared" si="8"/>
        <v>-</v>
      </c>
      <c r="N51" s="1069" t="str">
        <f t="shared" si="8"/>
        <v>-</v>
      </c>
      <c r="O51" s="1069" t="str">
        <f t="shared" si="8"/>
        <v>-</v>
      </c>
      <c r="P51" s="1069" t="str">
        <f t="shared" si="8"/>
        <v>-</v>
      </c>
      <c r="Q51" s="1069" t="str">
        <f t="shared" si="8"/>
        <v>-</v>
      </c>
      <c r="R51" s="1069" t="str">
        <f t="shared" si="8"/>
        <v>-</v>
      </c>
      <c r="S51" s="1069" t="str">
        <f t="shared" si="8"/>
        <v>-</v>
      </c>
      <c r="T51" s="1069" t="str">
        <f t="shared" si="8"/>
        <v>-</v>
      </c>
      <c r="U51" s="1068" t="str">
        <f t="shared" si="8"/>
        <v>-</v>
      </c>
      <c r="V51" s="1067">
        <f t="shared" si="9"/>
        <v>105.80490000000002</v>
      </c>
      <c r="X51" s="1043"/>
    </row>
    <row r="52" spans="1:24" s="1066" customFormat="1" ht="15" customHeight="1">
      <c r="A52" s="1076"/>
      <c r="B52" s="1075"/>
      <c r="C52" s="1074">
        <v>16</v>
      </c>
      <c r="D52" s="1073">
        <v>1</v>
      </c>
      <c r="E52" s="1072">
        <v>3</v>
      </c>
      <c r="F52" s="1071">
        <v>22.35</v>
      </c>
      <c r="G52" s="1070" t="str">
        <f t="shared" si="8"/>
        <v>-</v>
      </c>
      <c r="H52" s="1069" t="str">
        <f t="shared" si="8"/>
        <v>-</v>
      </c>
      <c r="I52" s="1069" t="str">
        <f t="shared" si="8"/>
        <v>-</v>
      </c>
      <c r="J52" s="1069" t="str">
        <f t="shared" si="8"/>
        <v>-</v>
      </c>
      <c r="K52" s="1069">
        <f t="shared" si="8"/>
        <v>67.050000000000011</v>
      </c>
      <c r="L52" s="1069" t="str">
        <f t="shared" si="8"/>
        <v>-</v>
      </c>
      <c r="M52" s="1069" t="str">
        <f t="shared" si="8"/>
        <v>-</v>
      </c>
      <c r="N52" s="1069" t="str">
        <f t="shared" si="8"/>
        <v>-</v>
      </c>
      <c r="O52" s="1069" t="str">
        <f t="shared" si="8"/>
        <v>-</v>
      </c>
      <c r="P52" s="1069" t="str">
        <f t="shared" si="8"/>
        <v>-</v>
      </c>
      <c r="Q52" s="1069" t="str">
        <f t="shared" si="8"/>
        <v>-</v>
      </c>
      <c r="R52" s="1069" t="str">
        <f t="shared" si="8"/>
        <v>-</v>
      </c>
      <c r="S52" s="1069" t="str">
        <f t="shared" si="8"/>
        <v>-</v>
      </c>
      <c r="T52" s="1069" t="str">
        <f t="shared" si="8"/>
        <v>-</v>
      </c>
      <c r="U52" s="1068" t="str">
        <f t="shared" si="8"/>
        <v>-</v>
      </c>
      <c r="V52" s="1067">
        <f t="shared" si="9"/>
        <v>105.80490000000002</v>
      </c>
      <c r="X52" s="1043"/>
    </row>
    <row r="53" spans="1:24" s="1066" customFormat="1" ht="15" customHeight="1">
      <c r="A53" s="1078"/>
      <c r="B53" s="1081"/>
      <c r="C53" s="1074">
        <v>10</v>
      </c>
      <c r="D53" s="1073">
        <v>1</v>
      </c>
      <c r="E53" s="1072">
        <v>2</v>
      </c>
      <c r="F53" s="1071">
        <v>22.35</v>
      </c>
      <c r="G53" s="1070" t="str">
        <f t="shared" si="8"/>
        <v>-</v>
      </c>
      <c r="H53" s="1069">
        <f t="shared" si="8"/>
        <v>44.7</v>
      </c>
      <c r="I53" s="1069" t="str">
        <f t="shared" si="8"/>
        <v>-</v>
      </c>
      <c r="J53" s="1069" t="str">
        <f t="shared" si="8"/>
        <v>-</v>
      </c>
      <c r="K53" s="1069" t="str">
        <f t="shared" si="8"/>
        <v>-</v>
      </c>
      <c r="L53" s="1069" t="str">
        <f t="shared" si="8"/>
        <v>-</v>
      </c>
      <c r="M53" s="1069" t="str">
        <f t="shared" si="8"/>
        <v>-</v>
      </c>
      <c r="N53" s="1069" t="str">
        <f t="shared" si="8"/>
        <v>-</v>
      </c>
      <c r="O53" s="1069" t="str">
        <f t="shared" si="8"/>
        <v>-</v>
      </c>
      <c r="P53" s="1069" t="str">
        <f t="shared" si="8"/>
        <v>-</v>
      </c>
      <c r="Q53" s="1069" t="str">
        <f t="shared" si="8"/>
        <v>-</v>
      </c>
      <c r="R53" s="1069" t="str">
        <f t="shared" si="8"/>
        <v>-</v>
      </c>
      <c r="S53" s="1069" t="str">
        <f t="shared" si="8"/>
        <v>-</v>
      </c>
      <c r="T53" s="1069" t="str">
        <f t="shared" si="8"/>
        <v>-</v>
      </c>
      <c r="U53" s="1068" t="str">
        <f t="shared" si="8"/>
        <v>-</v>
      </c>
      <c r="V53" s="1067">
        <f t="shared" si="9"/>
        <v>27.579900000000002</v>
      </c>
      <c r="X53" s="1043"/>
    </row>
    <row r="54" spans="1:24" s="1066" customFormat="1" ht="15" customHeight="1">
      <c r="A54" s="1078"/>
      <c r="B54" s="1075"/>
      <c r="C54" s="1074">
        <v>8</v>
      </c>
      <c r="D54" s="1073">
        <v>1</v>
      </c>
      <c r="E54" s="1072">
        <f>F50/0.075</f>
        <v>298.00000000000006</v>
      </c>
      <c r="F54" s="1080">
        <v>1.4</v>
      </c>
      <c r="G54" s="1070">
        <f t="shared" si="8"/>
        <v>417.20000000000005</v>
      </c>
      <c r="H54" s="1069" t="str">
        <f t="shared" si="8"/>
        <v>-</v>
      </c>
      <c r="I54" s="1069" t="str">
        <f t="shared" si="8"/>
        <v>-</v>
      </c>
      <c r="J54" s="1069" t="str">
        <f t="shared" si="8"/>
        <v>-</v>
      </c>
      <c r="K54" s="1069" t="str">
        <f t="shared" si="8"/>
        <v>-</v>
      </c>
      <c r="L54" s="1069" t="str">
        <f t="shared" si="8"/>
        <v>-</v>
      </c>
      <c r="M54" s="1069" t="str">
        <f t="shared" si="8"/>
        <v>-</v>
      </c>
      <c r="N54" s="1069" t="str">
        <f t="shared" si="8"/>
        <v>-</v>
      </c>
      <c r="O54" s="1069" t="str">
        <f t="shared" si="8"/>
        <v>-</v>
      </c>
      <c r="P54" s="1069" t="str">
        <f t="shared" si="8"/>
        <v>-</v>
      </c>
      <c r="Q54" s="1069" t="str">
        <f t="shared" si="8"/>
        <v>-</v>
      </c>
      <c r="R54" s="1069" t="str">
        <f t="shared" si="8"/>
        <v>-</v>
      </c>
      <c r="S54" s="1069" t="str">
        <f t="shared" si="8"/>
        <v>-</v>
      </c>
      <c r="T54" s="1069" t="str">
        <f t="shared" si="8"/>
        <v>-</v>
      </c>
      <c r="U54" s="1068" t="str">
        <f t="shared" si="8"/>
        <v>-</v>
      </c>
      <c r="V54" s="1067">
        <f t="shared" si="9"/>
        <v>164.79400000000004</v>
      </c>
      <c r="X54" s="1043"/>
    </row>
    <row r="55" spans="1:24" s="1066" customFormat="1" ht="15" customHeight="1">
      <c r="A55" s="1078"/>
      <c r="B55" s="1082" t="s">
        <v>668</v>
      </c>
      <c r="C55" s="1074">
        <v>16</v>
      </c>
      <c r="D55" s="1073">
        <v>1</v>
      </c>
      <c r="E55" s="1072">
        <v>3</v>
      </c>
      <c r="F55" s="1071">
        <v>5.76</v>
      </c>
      <c r="G55" s="1070" t="str">
        <f t="shared" si="8"/>
        <v>-</v>
      </c>
      <c r="H55" s="1069" t="str">
        <f t="shared" si="8"/>
        <v>-</v>
      </c>
      <c r="I55" s="1069" t="str">
        <f t="shared" si="8"/>
        <v>-</v>
      </c>
      <c r="J55" s="1069" t="str">
        <f t="shared" si="8"/>
        <v>-</v>
      </c>
      <c r="K55" s="1069">
        <f t="shared" si="8"/>
        <v>17.28</v>
      </c>
      <c r="L55" s="1069" t="str">
        <f t="shared" si="8"/>
        <v>-</v>
      </c>
      <c r="M55" s="1069" t="str">
        <f t="shared" si="8"/>
        <v>-</v>
      </c>
      <c r="N55" s="1069" t="str">
        <f t="shared" si="8"/>
        <v>-</v>
      </c>
      <c r="O55" s="1069" t="str">
        <f t="shared" si="8"/>
        <v>-</v>
      </c>
      <c r="P55" s="1069" t="str">
        <f t="shared" si="8"/>
        <v>-</v>
      </c>
      <c r="Q55" s="1069" t="str">
        <f t="shared" si="8"/>
        <v>-</v>
      </c>
      <c r="R55" s="1069" t="str">
        <f t="shared" si="8"/>
        <v>-</v>
      </c>
      <c r="S55" s="1069" t="str">
        <f t="shared" si="8"/>
        <v>-</v>
      </c>
      <c r="T55" s="1069" t="str">
        <f t="shared" si="8"/>
        <v>-</v>
      </c>
      <c r="U55" s="1068" t="str">
        <f t="shared" si="8"/>
        <v>-</v>
      </c>
      <c r="V55" s="1067">
        <f t="shared" si="9"/>
        <v>27.267840000000003</v>
      </c>
      <c r="X55" s="1043"/>
    </row>
    <row r="56" spans="1:24" s="1066" customFormat="1" ht="15" customHeight="1">
      <c r="A56" s="1078"/>
      <c r="B56" s="1075"/>
      <c r="C56" s="1074">
        <v>16</v>
      </c>
      <c r="D56" s="1073">
        <v>1</v>
      </c>
      <c r="E56" s="1072">
        <v>3</v>
      </c>
      <c r="F56" s="1071">
        <v>5.76</v>
      </c>
      <c r="G56" s="1070" t="str">
        <f t="shared" si="8"/>
        <v>-</v>
      </c>
      <c r="H56" s="1069" t="str">
        <f t="shared" si="8"/>
        <v>-</v>
      </c>
      <c r="I56" s="1069" t="str">
        <f t="shared" si="8"/>
        <v>-</v>
      </c>
      <c r="J56" s="1069" t="str">
        <f t="shared" si="8"/>
        <v>-</v>
      </c>
      <c r="K56" s="1069">
        <f t="shared" si="8"/>
        <v>17.28</v>
      </c>
      <c r="L56" s="1069" t="str">
        <f t="shared" si="8"/>
        <v>-</v>
      </c>
      <c r="M56" s="1069" t="str">
        <f t="shared" si="8"/>
        <v>-</v>
      </c>
      <c r="N56" s="1069" t="str">
        <f t="shared" si="8"/>
        <v>-</v>
      </c>
      <c r="O56" s="1069" t="str">
        <f t="shared" si="8"/>
        <v>-</v>
      </c>
      <c r="P56" s="1069" t="str">
        <f t="shared" si="8"/>
        <v>-</v>
      </c>
      <c r="Q56" s="1069" t="str">
        <f t="shared" si="8"/>
        <v>-</v>
      </c>
      <c r="R56" s="1069" t="str">
        <f t="shared" si="8"/>
        <v>-</v>
      </c>
      <c r="S56" s="1069" t="str">
        <f t="shared" si="8"/>
        <v>-</v>
      </c>
      <c r="T56" s="1069" t="str">
        <f t="shared" si="8"/>
        <v>-</v>
      </c>
      <c r="U56" s="1068" t="str">
        <f t="shared" si="8"/>
        <v>-</v>
      </c>
      <c r="V56" s="1067">
        <f t="shared" si="9"/>
        <v>27.267840000000003</v>
      </c>
      <c r="X56" s="1043"/>
    </row>
    <row r="57" spans="1:24" s="1066" customFormat="1" ht="15" customHeight="1">
      <c r="A57" s="1078"/>
      <c r="B57" s="1075"/>
      <c r="C57" s="1074">
        <v>16</v>
      </c>
      <c r="D57" s="1073">
        <v>1</v>
      </c>
      <c r="E57" s="1072">
        <v>3</v>
      </c>
      <c r="F57" s="1071">
        <v>5.76</v>
      </c>
      <c r="G57" s="1070" t="str">
        <f t="shared" si="8"/>
        <v>-</v>
      </c>
      <c r="H57" s="1069" t="str">
        <f t="shared" si="8"/>
        <v>-</v>
      </c>
      <c r="I57" s="1069" t="str">
        <f t="shared" si="8"/>
        <v>-</v>
      </c>
      <c r="J57" s="1069" t="str">
        <f t="shared" si="8"/>
        <v>-</v>
      </c>
      <c r="K57" s="1069">
        <f t="shared" si="8"/>
        <v>17.28</v>
      </c>
      <c r="L57" s="1069" t="str">
        <f t="shared" si="8"/>
        <v>-</v>
      </c>
      <c r="M57" s="1069" t="str">
        <f t="shared" si="8"/>
        <v>-</v>
      </c>
      <c r="N57" s="1069" t="str">
        <f t="shared" si="8"/>
        <v>-</v>
      </c>
      <c r="O57" s="1069" t="str">
        <f t="shared" si="8"/>
        <v>-</v>
      </c>
      <c r="P57" s="1069" t="str">
        <f t="shared" si="8"/>
        <v>-</v>
      </c>
      <c r="Q57" s="1069" t="str">
        <f t="shared" si="8"/>
        <v>-</v>
      </c>
      <c r="R57" s="1069" t="str">
        <f t="shared" si="8"/>
        <v>-</v>
      </c>
      <c r="S57" s="1069" t="str">
        <f t="shared" si="8"/>
        <v>-</v>
      </c>
      <c r="T57" s="1069" t="str">
        <f t="shared" si="8"/>
        <v>-</v>
      </c>
      <c r="U57" s="1068" t="str">
        <f t="shared" si="8"/>
        <v>-</v>
      </c>
      <c r="V57" s="1067">
        <f t="shared" si="9"/>
        <v>27.267840000000003</v>
      </c>
      <c r="X57" s="1043"/>
    </row>
    <row r="58" spans="1:24" s="1066" customFormat="1" ht="15" customHeight="1">
      <c r="A58" s="1078"/>
      <c r="B58" s="1075"/>
      <c r="C58" s="1074">
        <v>16</v>
      </c>
      <c r="D58" s="1073">
        <v>1</v>
      </c>
      <c r="E58" s="1072">
        <v>3</v>
      </c>
      <c r="F58" s="1071">
        <v>5.76</v>
      </c>
      <c r="G58" s="1070" t="str">
        <f t="shared" si="8"/>
        <v>-</v>
      </c>
      <c r="H58" s="1069" t="str">
        <f t="shared" si="8"/>
        <v>-</v>
      </c>
      <c r="I58" s="1069" t="str">
        <f t="shared" si="8"/>
        <v>-</v>
      </c>
      <c r="J58" s="1069" t="str">
        <f t="shared" si="8"/>
        <v>-</v>
      </c>
      <c r="K58" s="1069">
        <f t="shared" si="8"/>
        <v>17.28</v>
      </c>
      <c r="L58" s="1069" t="str">
        <f t="shared" si="8"/>
        <v>-</v>
      </c>
      <c r="M58" s="1069" t="str">
        <f t="shared" si="8"/>
        <v>-</v>
      </c>
      <c r="N58" s="1069" t="str">
        <f t="shared" si="8"/>
        <v>-</v>
      </c>
      <c r="O58" s="1069" t="str">
        <f t="shared" si="8"/>
        <v>-</v>
      </c>
      <c r="P58" s="1069" t="str">
        <f t="shared" si="8"/>
        <v>-</v>
      </c>
      <c r="Q58" s="1069" t="str">
        <f t="shared" si="8"/>
        <v>-</v>
      </c>
      <c r="R58" s="1069" t="str">
        <f t="shared" si="8"/>
        <v>-</v>
      </c>
      <c r="S58" s="1069" t="str">
        <f t="shared" si="8"/>
        <v>-</v>
      </c>
      <c r="T58" s="1069" t="str">
        <f t="shared" si="8"/>
        <v>-</v>
      </c>
      <c r="U58" s="1068" t="str">
        <f t="shared" si="8"/>
        <v>-</v>
      </c>
      <c r="V58" s="1067">
        <f t="shared" si="9"/>
        <v>27.267840000000003</v>
      </c>
      <c r="X58" s="1043"/>
    </row>
    <row r="59" spans="1:24" s="1066" customFormat="1" ht="15" customHeight="1">
      <c r="A59" s="1076"/>
      <c r="B59" s="1081"/>
      <c r="C59" s="1074">
        <v>10</v>
      </c>
      <c r="D59" s="1073">
        <v>1</v>
      </c>
      <c r="E59" s="1072">
        <v>2</v>
      </c>
      <c r="F59" s="1071">
        <v>5.76</v>
      </c>
      <c r="G59" s="1070" t="str">
        <f t="shared" ref="G59:U68" si="10">IF($C59=G$3,$D59*$E59*$F59,"-")</f>
        <v>-</v>
      </c>
      <c r="H59" s="1069">
        <f t="shared" si="10"/>
        <v>11.52</v>
      </c>
      <c r="I59" s="1069" t="str">
        <f t="shared" si="10"/>
        <v>-</v>
      </c>
      <c r="J59" s="1069" t="str">
        <f t="shared" si="10"/>
        <v>-</v>
      </c>
      <c r="K59" s="1069" t="str">
        <f t="shared" si="10"/>
        <v>-</v>
      </c>
      <c r="L59" s="1069" t="str">
        <f t="shared" si="10"/>
        <v>-</v>
      </c>
      <c r="M59" s="1069" t="str">
        <f t="shared" si="10"/>
        <v>-</v>
      </c>
      <c r="N59" s="1069" t="str">
        <f t="shared" si="10"/>
        <v>-</v>
      </c>
      <c r="O59" s="1069" t="str">
        <f t="shared" si="10"/>
        <v>-</v>
      </c>
      <c r="P59" s="1069" t="str">
        <f t="shared" si="10"/>
        <v>-</v>
      </c>
      <c r="Q59" s="1069" t="str">
        <f t="shared" si="10"/>
        <v>-</v>
      </c>
      <c r="R59" s="1069" t="str">
        <f t="shared" si="10"/>
        <v>-</v>
      </c>
      <c r="S59" s="1069" t="str">
        <f t="shared" si="10"/>
        <v>-</v>
      </c>
      <c r="T59" s="1069" t="str">
        <f t="shared" si="10"/>
        <v>-</v>
      </c>
      <c r="U59" s="1068" t="str">
        <f t="shared" si="10"/>
        <v>-</v>
      </c>
      <c r="V59" s="1067">
        <f t="shared" si="9"/>
        <v>7.1078399999999995</v>
      </c>
      <c r="X59" s="1043"/>
    </row>
    <row r="60" spans="1:24" s="1066" customFormat="1" ht="15" customHeight="1">
      <c r="A60" s="1076"/>
      <c r="B60" s="1075"/>
      <c r="C60" s="1074">
        <v>8</v>
      </c>
      <c r="D60" s="1073">
        <v>1</v>
      </c>
      <c r="E60" s="1072">
        <f>F56/0.075</f>
        <v>76.8</v>
      </c>
      <c r="F60" s="1080">
        <v>1.4</v>
      </c>
      <c r="G60" s="1070">
        <f t="shared" si="10"/>
        <v>107.52</v>
      </c>
      <c r="H60" s="1069" t="str">
        <f t="shared" si="10"/>
        <v>-</v>
      </c>
      <c r="I60" s="1069" t="str">
        <f t="shared" si="10"/>
        <v>-</v>
      </c>
      <c r="J60" s="1069" t="str">
        <f t="shared" si="10"/>
        <v>-</v>
      </c>
      <c r="K60" s="1069" t="str">
        <f t="shared" si="10"/>
        <v>-</v>
      </c>
      <c r="L60" s="1069" t="str">
        <f t="shared" si="10"/>
        <v>-</v>
      </c>
      <c r="M60" s="1069" t="str">
        <f t="shared" si="10"/>
        <v>-</v>
      </c>
      <c r="N60" s="1069" t="str">
        <f t="shared" si="10"/>
        <v>-</v>
      </c>
      <c r="O60" s="1069" t="str">
        <f t="shared" si="10"/>
        <v>-</v>
      </c>
      <c r="P60" s="1069" t="str">
        <f t="shared" si="10"/>
        <v>-</v>
      </c>
      <c r="Q60" s="1069" t="str">
        <f t="shared" si="10"/>
        <v>-</v>
      </c>
      <c r="R60" s="1069" t="str">
        <f t="shared" si="10"/>
        <v>-</v>
      </c>
      <c r="S60" s="1069" t="str">
        <f t="shared" si="10"/>
        <v>-</v>
      </c>
      <c r="T60" s="1069" t="str">
        <f t="shared" si="10"/>
        <v>-</v>
      </c>
      <c r="U60" s="1068" t="str">
        <f t="shared" si="10"/>
        <v>-</v>
      </c>
      <c r="V60" s="1067">
        <f t="shared" si="9"/>
        <v>42.470399999999998</v>
      </c>
      <c r="X60" s="1043"/>
    </row>
    <row r="61" spans="1:24" s="1066" customFormat="1" ht="15" customHeight="1">
      <c r="A61" s="1076"/>
      <c r="B61" s="1079" t="s">
        <v>683</v>
      </c>
      <c r="C61" s="1074"/>
      <c r="D61" s="1073"/>
      <c r="E61" s="1072"/>
      <c r="F61" s="1071"/>
      <c r="G61" s="1070" t="str">
        <f t="shared" si="10"/>
        <v>-</v>
      </c>
      <c r="H61" s="1069" t="str">
        <f t="shared" si="10"/>
        <v>-</v>
      </c>
      <c r="I61" s="1069" t="str">
        <f t="shared" si="10"/>
        <v>-</v>
      </c>
      <c r="J61" s="1069" t="str">
        <f t="shared" si="10"/>
        <v>-</v>
      </c>
      <c r="K61" s="1069" t="str">
        <f t="shared" si="10"/>
        <v>-</v>
      </c>
      <c r="L61" s="1069" t="str">
        <f t="shared" si="10"/>
        <v>-</v>
      </c>
      <c r="M61" s="1069" t="str">
        <f t="shared" si="10"/>
        <v>-</v>
      </c>
      <c r="N61" s="1069" t="str">
        <f t="shared" si="10"/>
        <v>-</v>
      </c>
      <c r="O61" s="1069" t="str">
        <f t="shared" si="10"/>
        <v>-</v>
      </c>
      <c r="P61" s="1069" t="str">
        <f t="shared" si="10"/>
        <v>-</v>
      </c>
      <c r="Q61" s="1069" t="str">
        <f t="shared" si="10"/>
        <v>-</v>
      </c>
      <c r="R61" s="1069" t="str">
        <f t="shared" si="10"/>
        <v>-</v>
      </c>
      <c r="S61" s="1069" t="str">
        <f t="shared" si="10"/>
        <v>-</v>
      </c>
      <c r="T61" s="1069" t="str">
        <f t="shared" si="10"/>
        <v>-</v>
      </c>
      <c r="U61" s="1068" t="str">
        <f t="shared" si="10"/>
        <v>-</v>
      </c>
      <c r="V61" s="1067">
        <f t="shared" si="9"/>
        <v>0</v>
      </c>
      <c r="X61" s="1043"/>
    </row>
    <row r="62" spans="1:24" s="1066" customFormat="1" ht="15" customHeight="1">
      <c r="A62" s="1078"/>
      <c r="B62" s="1082" t="s">
        <v>402</v>
      </c>
      <c r="C62" s="1074">
        <v>14</v>
      </c>
      <c r="D62" s="1073">
        <v>1</v>
      </c>
      <c r="E62" s="1072">
        <v>2</v>
      </c>
      <c r="F62" s="1071">
        <v>0</v>
      </c>
      <c r="G62" s="1070" t="str">
        <f t="shared" si="10"/>
        <v>-</v>
      </c>
      <c r="H62" s="1069" t="str">
        <f t="shared" si="10"/>
        <v>-</v>
      </c>
      <c r="I62" s="1069" t="str">
        <f t="shared" si="10"/>
        <v>-</v>
      </c>
      <c r="J62" s="1069">
        <f t="shared" si="10"/>
        <v>0</v>
      </c>
      <c r="K62" s="1069" t="str">
        <f t="shared" si="10"/>
        <v>-</v>
      </c>
      <c r="L62" s="1069" t="str">
        <f t="shared" si="10"/>
        <v>-</v>
      </c>
      <c r="M62" s="1069" t="str">
        <f t="shared" si="10"/>
        <v>-</v>
      </c>
      <c r="N62" s="1069" t="str">
        <f t="shared" si="10"/>
        <v>-</v>
      </c>
      <c r="O62" s="1069" t="str">
        <f t="shared" si="10"/>
        <v>-</v>
      </c>
      <c r="P62" s="1069" t="str">
        <f t="shared" si="10"/>
        <v>-</v>
      </c>
      <c r="Q62" s="1069" t="str">
        <f t="shared" si="10"/>
        <v>-</v>
      </c>
      <c r="R62" s="1069" t="str">
        <f t="shared" si="10"/>
        <v>-</v>
      </c>
      <c r="S62" s="1069" t="str">
        <f t="shared" si="10"/>
        <v>-</v>
      </c>
      <c r="T62" s="1069" t="str">
        <f t="shared" si="10"/>
        <v>-</v>
      </c>
      <c r="U62" s="1068" t="str">
        <f t="shared" si="10"/>
        <v>-</v>
      </c>
      <c r="V62" s="1067">
        <f t="shared" si="9"/>
        <v>0</v>
      </c>
      <c r="X62" s="1043"/>
    </row>
    <row r="63" spans="1:24" s="1066" customFormat="1" ht="15" customHeight="1">
      <c r="A63" s="1078"/>
      <c r="B63" s="1075"/>
      <c r="C63" s="1074">
        <v>14</v>
      </c>
      <c r="D63" s="1073">
        <v>1</v>
      </c>
      <c r="E63" s="1072">
        <v>2</v>
      </c>
      <c r="F63" s="1071">
        <v>0</v>
      </c>
      <c r="G63" s="1070" t="str">
        <f t="shared" si="10"/>
        <v>-</v>
      </c>
      <c r="H63" s="1069" t="str">
        <f t="shared" si="10"/>
        <v>-</v>
      </c>
      <c r="I63" s="1069" t="str">
        <f t="shared" si="10"/>
        <v>-</v>
      </c>
      <c r="J63" s="1069">
        <f t="shared" si="10"/>
        <v>0</v>
      </c>
      <c r="K63" s="1069" t="str">
        <f t="shared" si="10"/>
        <v>-</v>
      </c>
      <c r="L63" s="1069" t="str">
        <f t="shared" si="10"/>
        <v>-</v>
      </c>
      <c r="M63" s="1069" t="str">
        <f t="shared" si="10"/>
        <v>-</v>
      </c>
      <c r="N63" s="1069" t="str">
        <f t="shared" si="10"/>
        <v>-</v>
      </c>
      <c r="O63" s="1069" t="str">
        <f t="shared" si="10"/>
        <v>-</v>
      </c>
      <c r="P63" s="1069" t="str">
        <f t="shared" si="10"/>
        <v>-</v>
      </c>
      <c r="Q63" s="1069" t="str">
        <f t="shared" si="10"/>
        <v>-</v>
      </c>
      <c r="R63" s="1069" t="str">
        <f t="shared" si="10"/>
        <v>-</v>
      </c>
      <c r="S63" s="1069" t="str">
        <f t="shared" si="10"/>
        <v>-</v>
      </c>
      <c r="T63" s="1069" t="str">
        <f t="shared" si="10"/>
        <v>-</v>
      </c>
      <c r="U63" s="1068" t="str">
        <f t="shared" si="10"/>
        <v>-</v>
      </c>
      <c r="V63" s="1067">
        <f t="shared" si="9"/>
        <v>0</v>
      </c>
      <c r="X63" s="1043"/>
    </row>
    <row r="64" spans="1:24" s="1066" customFormat="1" ht="15" customHeight="1">
      <c r="A64" s="1078"/>
      <c r="B64" s="1075"/>
      <c r="C64" s="1074">
        <v>8</v>
      </c>
      <c r="D64" s="1073">
        <v>1</v>
      </c>
      <c r="E64" s="1072">
        <f>F62/0.2</f>
        <v>0</v>
      </c>
      <c r="F64" s="1071">
        <v>1.2</v>
      </c>
      <c r="G64" s="1070">
        <f t="shared" si="10"/>
        <v>0</v>
      </c>
      <c r="H64" s="1069" t="str">
        <f t="shared" si="10"/>
        <v>-</v>
      </c>
      <c r="I64" s="1069" t="str">
        <f t="shared" si="10"/>
        <v>-</v>
      </c>
      <c r="J64" s="1069" t="str">
        <f t="shared" si="10"/>
        <v>-</v>
      </c>
      <c r="K64" s="1069" t="str">
        <f t="shared" si="10"/>
        <v>-</v>
      </c>
      <c r="L64" s="1069" t="str">
        <f t="shared" si="10"/>
        <v>-</v>
      </c>
      <c r="M64" s="1069" t="str">
        <f t="shared" si="10"/>
        <v>-</v>
      </c>
      <c r="N64" s="1069" t="str">
        <f t="shared" si="10"/>
        <v>-</v>
      </c>
      <c r="O64" s="1069" t="str">
        <f t="shared" si="10"/>
        <v>-</v>
      </c>
      <c r="P64" s="1069" t="str">
        <f t="shared" si="10"/>
        <v>-</v>
      </c>
      <c r="Q64" s="1069" t="str">
        <f t="shared" si="10"/>
        <v>-</v>
      </c>
      <c r="R64" s="1069" t="str">
        <f t="shared" si="10"/>
        <v>-</v>
      </c>
      <c r="S64" s="1069" t="str">
        <f t="shared" si="10"/>
        <v>-</v>
      </c>
      <c r="T64" s="1069" t="str">
        <f t="shared" si="10"/>
        <v>-</v>
      </c>
      <c r="U64" s="1068" t="str">
        <f t="shared" si="10"/>
        <v>-</v>
      </c>
      <c r="V64" s="1067">
        <f t="shared" si="9"/>
        <v>0</v>
      </c>
      <c r="X64" s="1043"/>
    </row>
    <row r="65" spans="1:24" s="1066" customFormat="1" ht="15" customHeight="1">
      <c r="A65" s="1078"/>
      <c r="B65" s="1082" t="s">
        <v>403</v>
      </c>
      <c r="C65" s="1074">
        <v>16</v>
      </c>
      <c r="D65" s="1073">
        <v>1</v>
      </c>
      <c r="E65" s="1072">
        <v>2</v>
      </c>
      <c r="F65" s="1071">
        <v>15.74</v>
      </c>
      <c r="G65" s="1070" t="str">
        <f t="shared" si="10"/>
        <v>-</v>
      </c>
      <c r="H65" s="1069" t="str">
        <f t="shared" si="10"/>
        <v>-</v>
      </c>
      <c r="I65" s="1069" t="str">
        <f t="shared" si="10"/>
        <v>-</v>
      </c>
      <c r="J65" s="1069" t="str">
        <f t="shared" si="10"/>
        <v>-</v>
      </c>
      <c r="K65" s="1069">
        <f t="shared" si="10"/>
        <v>31.48</v>
      </c>
      <c r="L65" s="1069" t="str">
        <f t="shared" si="10"/>
        <v>-</v>
      </c>
      <c r="M65" s="1069" t="str">
        <f t="shared" si="10"/>
        <v>-</v>
      </c>
      <c r="N65" s="1069" t="str">
        <f t="shared" si="10"/>
        <v>-</v>
      </c>
      <c r="O65" s="1069" t="str">
        <f t="shared" si="10"/>
        <v>-</v>
      </c>
      <c r="P65" s="1069" t="str">
        <f t="shared" si="10"/>
        <v>-</v>
      </c>
      <c r="Q65" s="1069" t="str">
        <f t="shared" si="10"/>
        <v>-</v>
      </c>
      <c r="R65" s="1069" t="str">
        <f t="shared" si="10"/>
        <v>-</v>
      </c>
      <c r="S65" s="1069" t="str">
        <f t="shared" si="10"/>
        <v>-</v>
      </c>
      <c r="T65" s="1069" t="str">
        <f t="shared" si="10"/>
        <v>-</v>
      </c>
      <c r="U65" s="1068" t="str">
        <f t="shared" si="10"/>
        <v>-</v>
      </c>
      <c r="V65" s="1067">
        <f t="shared" si="9"/>
        <v>49.675440000000002</v>
      </c>
      <c r="X65" s="1043"/>
    </row>
    <row r="66" spans="1:24" s="1066" customFormat="1" ht="15" customHeight="1">
      <c r="A66" s="1078"/>
      <c r="B66" s="1075"/>
      <c r="C66" s="1074">
        <v>16</v>
      </c>
      <c r="D66" s="1073">
        <v>1</v>
      </c>
      <c r="E66" s="1072">
        <v>1</v>
      </c>
      <c r="F66" s="1071">
        <v>15.74</v>
      </c>
      <c r="G66" s="1070" t="str">
        <f t="shared" si="10"/>
        <v>-</v>
      </c>
      <c r="H66" s="1069" t="str">
        <f t="shared" si="10"/>
        <v>-</v>
      </c>
      <c r="I66" s="1069" t="str">
        <f t="shared" si="10"/>
        <v>-</v>
      </c>
      <c r="J66" s="1069" t="str">
        <f t="shared" si="10"/>
        <v>-</v>
      </c>
      <c r="K66" s="1069">
        <f t="shared" si="10"/>
        <v>15.74</v>
      </c>
      <c r="L66" s="1069" t="str">
        <f t="shared" si="10"/>
        <v>-</v>
      </c>
      <c r="M66" s="1069" t="str">
        <f t="shared" si="10"/>
        <v>-</v>
      </c>
      <c r="N66" s="1069" t="str">
        <f t="shared" si="10"/>
        <v>-</v>
      </c>
      <c r="O66" s="1069" t="str">
        <f t="shared" si="10"/>
        <v>-</v>
      </c>
      <c r="P66" s="1069" t="str">
        <f t="shared" si="10"/>
        <v>-</v>
      </c>
      <c r="Q66" s="1069" t="str">
        <f t="shared" si="10"/>
        <v>-</v>
      </c>
      <c r="R66" s="1069" t="str">
        <f t="shared" si="10"/>
        <v>-</v>
      </c>
      <c r="S66" s="1069" t="str">
        <f t="shared" si="10"/>
        <v>-</v>
      </c>
      <c r="T66" s="1069" t="str">
        <f t="shared" si="10"/>
        <v>-</v>
      </c>
      <c r="U66" s="1068" t="str">
        <f t="shared" si="10"/>
        <v>-</v>
      </c>
      <c r="V66" s="1067">
        <f t="shared" si="9"/>
        <v>24.837720000000001</v>
      </c>
      <c r="X66" s="1043"/>
    </row>
    <row r="67" spans="1:24" s="1066" customFormat="1" ht="15" customHeight="1">
      <c r="A67" s="1078"/>
      <c r="B67" s="1075"/>
      <c r="C67" s="1074">
        <v>16</v>
      </c>
      <c r="D67" s="1073">
        <v>1</v>
      </c>
      <c r="E67" s="1072">
        <v>2</v>
      </c>
      <c r="F67" s="1071">
        <v>15.74</v>
      </c>
      <c r="G67" s="1070" t="str">
        <f t="shared" si="10"/>
        <v>-</v>
      </c>
      <c r="H67" s="1069" t="str">
        <f t="shared" si="10"/>
        <v>-</v>
      </c>
      <c r="I67" s="1069" t="str">
        <f t="shared" si="10"/>
        <v>-</v>
      </c>
      <c r="J67" s="1069" t="str">
        <f t="shared" si="10"/>
        <v>-</v>
      </c>
      <c r="K67" s="1069">
        <f t="shared" si="10"/>
        <v>31.48</v>
      </c>
      <c r="L67" s="1069" t="str">
        <f t="shared" si="10"/>
        <v>-</v>
      </c>
      <c r="M67" s="1069" t="str">
        <f t="shared" si="10"/>
        <v>-</v>
      </c>
      <c r="N67" s="1069" t="str">
        <f t="shared" si="10"/>
        <v>-</v>
      </c>
      <c r="O67" s="1069" t="str">
        <f t="shared" si="10"/>
        <v>-</v>
      </c>
      <c r="P67" s="1069" t="str">
        <f t="shared" si="10"/>
        <v>-</v>
      </c>
      <c r="Q67" s="1069" t="str">
        <f t="shared" si="10"/>
        <v>-</v>
      </c>
      <c r="R67" s="1069" t="str">
        <f t="shared" si="10"/>
        <v>-</v>
      </c>
      <c r="S67" s="1069" t="str">
        <f t="shared" si="10"/>
        <v>-</v>
      </c>
      <c r="T67" s="1069" t="str">
        <f t="shared" si="10"/>
        <v>-</v>
      </c>
      <c r="U67" s="1068" t="str">
        <f t="shared" si="10"/>
        <v>-</v>
      </c>
      <c r="V67" s="1067">
        <f t="shared" si="9"/>
        <v>49.675440000000002</v>
      </c>
      <c r="X67" s="1043"/>
    </row>
    <row r="68" spans="1:24" s="1066" customFormat="1" ht="15" customHeight="1">
      <c r="A68" s="1078"/>
      <c r="B68" s="1075"/>
      <c r="C68" s="1074">
        <v>16</v>
      </c>
      <c r="D68" s="1073">
        <v>1</v>
      </c>
      <c r="E68" s="1072">
        <v>1</v>
      </c>
      <c r="F68" s="1071">
        <v>15.74</v>
      </c>
      <c r="G68" s="1070" t="str">
        <f t="shared" si="10"/>
        <v>-</v>
      </c>
      <c r="H68" s="1069" t="str">
        <f t="shared" si="10"/>
        <v>-</v>
      </c>
      <c r="I68" s="1069" t="str">
        <f t="shared" si="10"/>
        <v>-</v>
      </c>
      <c r="J68" s="1069" t="str">
        <f t="shared" si="10"/>
        <v>-</v>
      </c>
      <c r="K68" s="1069">
        <f t="shared" si="10"/>
        <v>15.74</v>
      </c>
      <c r="L68" s="1069" t="str">
        <f t="shared" si="10"/>
        <v>-</v>
      </c>
      <c r="M68" s="1069" t="str">
        <f t="shared" si="10"/>
        <v>-</v>
      </c>
      <c r="N68" s="1069" t="str">
        <f t="shared" si="10"/>
        <v>-</v>
      </c>
      <c r="O68" s="1069" t="str">
        <f t="shared" si="10"/>
        <v>-</v>
      </c>
      <c r="P68" s="1069" t="str">
        <f t="shared" si="10"/>
        <v>-</v>
      </c>
      <c r="Q68" s="1069" t="str">
        <f t="shared" si="10"/>
        <v>-</v>
      </c>
      <c r="R68" s="1069" t="str">
        <f t="shared" si="10"/>
        <v>-</v>
      </c>
      <c r="S68" s="1069" t="str">
        <f t="shared" si="10"/>
        <v>-</v>
      </c>
      <c r="T68" s="1069" t="str">
        <f t="shared" si="10"/>
        <v>-</v>
      </c>
      <c r="U68" s="1068" t="str">
        <f t="shared" si="10"/>
        <v>-</v>
      </c>
      <c r="V68" s="1067">
        <f t="shared" si="9"/>
        <v>24.837720000000001</v>
      </c>
      <c r="X68" s="1043"/>
    </row>
    <row r="69" spans="1:24" s="1066" customFormat="1" ht="15" customHeight="1">
      <c r="A69" s="1078"/>
      <c r="B69" s="1081"/>
      <c r="C69" s="1074">
        <v>8</v>
      </c>
      <c r="D69" s="1073">
        <v>1</v>
      </c>
      <c r="E69" s="1072">
        <f>F65/0.2</f>
        <v>78.7</v>
      </c>
      <c r="F69" s="1080">
        <v>1.2</v>
      </c>
      <c r="G69" s="1070">
        <f t="shared" ref="G69:U78" si="11">IF($C69=G$3,$D69*$E69*$F69,"-")</f>
        <v>94.44</v>
      </c>
      <c r="H69" s="1069" t="str">
        <f t="shared" si="11"/>
        <v>-</v>
      </c>
      <c r="I69" s="1069" t="str">
        <f t="shared" si="11"/>
        <v>-</v>
      </c>
      <c r="J69" s="1069" t="str">
        <f t="shared" si="11"/>
        <v>-</v>
      </c>
      <c r="K69" s="1069" t="str">
        <f t="shared" si="11"/>
        <v>-</v>
      </c>
      <c r="L69" s="1069" t="str">
        <f t="shared" si="11"/>
        <v>-</v>
      </c>
      <c r="M69" s="1069" t="str">
        <f t="shared" si="11"/>
        <v>-</v>
      </c>
      <c r="N69" s="1069" t="str">
        <f t="shared" si="11"/>
        <v>-</v>
      </c>
      <c r="O69" s="1069" t="str">
        <f t="shared" si="11"/>
        <v>-</v>
      </c>
      <c r="P69" s="1069" t="str">
        <f t="shared" si="11"/>
        <v>-</v>
      </c>
      <c r="Q69" s="1069" t="str">
        <f t="shared" si="11"/>
        <v>-</v>
      </c>
      <c r="R69" s="1069" t="str">
        <f t="shared" si="11"/>
        <v>-</v>
      </c>
      <c r="S69" s="1069" t="str">
        <f t="shared" si="11"/>
        <v>-</v>
      </c>
      <c r="T69" s="1069" t="str">
        <f t="shared" si="11"/>
        <v>-</v>
      </c>
      <c r="U69" s="1068" t="str">
        <f t="shared" si="11"/>
        <v>-</v>
      </c>
      <c r="V69" s="1067">
        <f t="shared" si="9"/>
        <v>37.303800000000003</v>
      </c>
      <c r="X69" s="1043"/>
    </row>
    <row r="70" spans="1:24" s="1066" customFormat="1" ht="15" customHeight="1">
      <c r="A70" s="1078"/>
      <c r="B70" s="1082" t="s">
        <v>404</v>
      </c>
      <c r="C70" s="1074">
        <v>16</v>
      </c>
      <c r="D70" s="1073">
        <v>1</v>
      </c>
      <c r="E70" s="1072">
        <v>2</v>
      </c>
      <c r="F70" s="1071">
        <v>22.46</v>
      </c>
      <c r="G70" s="1070" t="str">
        <f t="shared" si="11"/>
        <v>-</v>
      </c>
      <c r="H70" s="1069" t="str">
        <f t="shared" si="11"/>
        <v>-</v>
      </c>
      <c r="I70" s="1069" t="str">
        <f t="shared" si="11"/>
        <v>-</v>
      </c>
      <c r="J70" s="1069" t="str">
        <f t="shared" si="11"/>
        <v>-</v>
      </c>
      <c r="K70" s="1069">
        <f t="shared" si="11"/>
        <v>44.92</v>
      </c>
      <c r="L70" s="1069" t="str">
        <f t="shared" si="11"/>
        <v>-</v>
      </c>
      <c r="M70" s="1069" t="str">
        <f t="shared" si="11"/>
        <v>-</v>
      </c>
      <c r="N70" s="1069" t="str">
        <f t="shared" si="11"/>
        <v>-</v>
      </c>
      <c r="O70" s="1069" t="str">
        <f t="shared" si="11"/>
        <v>-</v>
      </c>
      <c r="P70" s="1069" t="str">
        <f t="shared" si="11"/>
        <v>-</v>
      </c>
      <c r="Q70" s="1069" t="str">
        <f t="shared" si="11"/>
        <v>-</v>
      </c>
      <c r="R70" s="1069" t="str">
        <f t="shared" si="11"/>
        <v>-</v>
      </c>
      <c r="S70" s="1069" t="str">
        <f t="shared" si="11"/>
        <v>-</v>
      </c>
      <c r="T70" s="1069" t="str">
        <f t="shared" si="11"/>
        <v>-</v>
      </c>
      <c r="U70" s="1068" t="str">
        <f t="shared" si="11"/>
        <v>-</v>
      </c>
      <c r="V70" s="1067">
        <f t="shared" si="9"/>
        <v>70.883760000000009</v>
      </c>
      <c r="X70" s="1043"/>
    </row>
    <row r="71" spans="1:24" s="1066" customFormat="1" ht="23.1" customHeight="1">
      <c r="A71" s="1076"/>
      <c r="B71" s="1075"/>
      <c r="C71" s="1074">
        <v>16</v>
      </c>
      <c r="D71" s="1073">
        <v>1</v>
      </c>
      <c r="E71" s="1072">
        <v>2</v>
      </c>
      <c r="F71" s="1071">
        <v>22.46</v>
      </c>
      <c r="G71" s="1070" t="str">
        <f t="shared" si="11"/>
        <v>-</v>
      </c>
      <c r="H71" s="1069" t="str">
        <f t="shared" si="11"/>
        <v>-</v>
      </c>
      <c r="I71" s="1069" t="str">
        <f t="shared" si="11"/>
        <v>-</v>
      </c>
      <c r="J71" s="1069" t="str">
        <f t="shared" si="11"/>
        <v>-</v>
      </c>
      <c r="K71" s="1069">
        <f t="shared" si="11"/>
        <v>44.92</v>
      </c>
      <c r="L71" s="1069" t="str">
        <f t="shared" si="11"/>
        <v>-</v>
      </c>
      <c r="M71" s="1069" t="str">
        <f t="shared" si="11"/>
        <v>-</v>
      </c>
      <c r="N71" s="1069" t="str">
        <f t="shared" si="11"/>
        <v>-</v>
      </c>
      <c r="O71" s="1069" t="str">
        <f t="shared" si="11"/>
        <v>-</v>
      </c>
      <c r="P71" s="1069" t="str">
        <f t="shared" si="11"/>
        <v>-</v>
      </c>
      <c r="Q71" s="1069" t="str">
        <f t="shared" si="11"/>
        <v>-</v>
      </c>
      <c r="R71" s="1069" t="str">
        <f t="shared" si="11"/>
        <v>-</v>
      </c>
      <c r="S71" s="1069" t="str">
        <f t="shared" si="11"/>
        <v>-</v>
      </c>
      <c r="T71" s="1069" t="str">
        <f t="shared" si="11"/>
        <v>-</v>
      </c>
      <c r="U71" s="1068" t="str">
        <f t="shared" si="11"/>
        <v>-</v>
      </c>
      <c r="V71" s="1067">
        <f t="shared" si="9"/>
        <v>70.883760000000009</v>
      </c>
      <c r="X71" s="1043"/>
    </row>
    <row r="72" spans="1:24" s="1066" customFormat="1" ht="15" customHeight="1">
      <c r="A72" s="1076"/>
      <c r="B72" s="1075"/>
      <c r="C72" s="1074">
        <v>16</v>
      </c>
      <c r="D72" s="1073">
        <v>1</v>
      </c>
      <c r="E72" s="1072">
        <v>2</v>
      </c>
      <c r="F72" s="1071">
        <v>22.46</v>
      </c>
      <c r="G72" s="1070" t="str">
        <f t="shared" si="11"/>
        <v>-</v>
      </c>
      <c r="H72" s="1069" t="str">
        <f t="shared" si="11"/>
        <v>-</v>
      </c>
      <c r="I72" s="1069" t="str">
        <f t="shared" si="11"/>
        <v>-</v>
      </c>
      <c r="J72" s="1069" t="str">
        <f t="shared" si="11"/>
        <v>-</v>
      </c>
      <c r="K72" s="1069">
        <f t="shared" si="11"/>
        <v>44.92</v>
      </c>
      <c r="L72" s="1069" t="str">
        <f t="shared" si="11"/>
        <v>-</v>
      </c>
      <c r="M72" s="1069" t="str">
        <f t="shared" si="11"/>
        <v>-</v>
      </c>
      <c r="N72" s="1069" t="str">
        <f t="shared" si="11"/>
        <v>-</v>
      </c>
      <c r="O72" s="1069" t="str">
        <f t="shared" si="11"/>
        <v>-</v>
      </c>
      <c r="P72" s="1069" t="str">
        <f t="shared" si="11"/>
        <v>-</v>
      </c>
      <c r="Q72" s="1069" t="str">
        <f t="shared" si="11"/>
        <v>-</v>
      </c>
      <c r="R72" s="1069" t="str">
        <f t="shared" si="11"/>
        <v>-</v>
      </c>
      <c r="S72" s="1069" t="str">
        <f t="shared" si="11"/>
        <v>-</v>
      </c>
      <c r="T72" s="1069" t="str">
        <f t="shared" si="11"/>
        <v>-</v>
      </c>
      <c r="U72" s="1068" t="str">
        <f t="shared" si="11"/>
        <v>-</v>
      </c>
      <c r="V72" s="1067">
        <f t="shared" si="9"/>
        <v>70.883760000000009</v>
      </c>
      <c r="X72" s="1043"/>
    </row>
    <row r="73" spans="1:24" s="1066" customFormat="1" ht="15" customHeight="1">
      <c r="A73" s="1076"/>
      <c r="B73" s="1075"/>
      <c r="C73" s="1074">
        <v>16</v>
      </c>
      <c r="D73" s="1073">
        <v>1</v>
      </c>
      <c r="E73" s="1072">
        <v>2</v>
      </c>
      <c r="F73" s="1071">
        <v>22.46</v>
      </c>
      <c r="G73" s="1070" t="str">
        <f t="shared" si="11"/>
        <v>-</v>
      </c>
      <c r="H73" s="1069" t="str">
        <f t="shared" si="11"/>
        <v>-</v>
      </c>
      <c r="I73" s="1069" t="str">
        <f t="shared" si="11"/>
        <v>-</v>
      </c>
      <c r="J73" s="1069" t="str">
        <f t="shared" si="11"/>
        <v>-</v>
      </c>
      <c r="K73" s="1069">
        <f t="shared" si="11"/>
        <v>44.92</v>
      </c>
      <c r="L73" s="1069" t="str">
        <f t="shared" si="11"/>
        <v>-</v>
      </c>
      <c r="M73" s="1069" t="str">
        <f t="shared" si="11"/>
        <v>-</v>
      </c>
      <c r="N73" s="1069" t="str">
        <f t="shared" si="11"/>
        <v>-</v>
      </c>
      <c r="O73" s="1069" t="str">
        <f t="shared" si="11"/>
        <v>-</v>
      </c>
      <c r="P73" s="1069" t="str">
        <f t="shared" si="11"/>
        <v>-</v>
      </c>
      <c r="Q73" s="1069" t="str">
        <f t="shared" si="11"/>
        <v>-</v>
      </c>
      <c r="R73" s="1069" t="str">
        <f t="shared" si="11"/>
        <v>-</v>
      </c>
      <c r="S73" s="1069" t="str">
        <f t="shared" si="11"/>
        <v>-</v>
      </c>
      <c r="T73" s="1069" t="str">
        <f t="shared" si="11"/>
        <v>-</v>
      </c>
      <c r="U73" s="1068" t="str">
        <f t="shared" si="11"/>
        <v>-</v>
      </c>
      <c r="V73" s="1067">
        <f t="shared" si="9"/>
        <v>70.883760000000009</v>
      </c>
      <c r="X73" s="1043"/>
    </row>
    <row r="74" spans="1:24" s="1066" customFormat="1" ht="15" customHeight="1">
      <c r="A74" s="1076"/>
      <c r="B74" s="1081"/>
      <c r="C74" s="1074">
        <v>8</v>
      </c>
      <c r="D74" s="1073">
        <v>1</v>
      </c>
      <c r="E74" s="1072">
        <f>F70/0.2</f>
        <v>112.3</v>
      </c>
      <c r="F74" s="1080">
        <v>1.4</v>
      </c>
      <c r="G74" s="1070">
        <f t="shared" si="11"/>
        <v>157.22</v>
      </c>
      <c r="H74" s="1069" t="str">
        <f t="shared" si="11"/>
        <v>-</v>
      </c>
      <c r="I74" s="1069" t="str">
        <f t="shared" si="11"/>
        <v>-</v>
      </c>
      <c r="J74" s="1069" t="str">
        <f t="shared" si="11"/>
        <v>-</v>
      </c>
      <c r="K74" s="1069" t="str">
        <f t="shared" si="11"/>
        <v>-</v>
      </c>
      <c r="L74" s="1069" t="str">
        <f t="shared" si="11"/>
        <v>-</v>
      </c>
      <c r="M74" s="1069" t="str">
        <f t="shared" si="11"/>
        <v>-</v>
      </c>
      <c r="N74" s="1069" t="str">
        <f t="shared" si="11"/>
        <v>-</v>
      </c>
      <c r="O74" s="1069" t="str">
        <f t="shared" si="11"/>
        <v>-</v>
      </c>
      <c r="P74" s="1069" t="str">
        <f t="shared" si="11"/>
        <v>-</v>
      </c>
      <c r="Q74" s="1069" t="str">
        <f t="shared" si="11"/>
        <v>-</v>
      </c>
      <c r="R74" s="1069" t="str">
        <f t="shared" si="11"/>
        <v>-</v>
      </c>
      <c r="S74" s="1069" t="str">
        <f t="shared" si="11"/>
        <v>-</v>
      </c>
      <c r="T74" s="1069" t="str">
        <f t="shared" si="11"/>
        <v>-</v>
      </c>
      <c r="U74" s="1068" t="str">
        <f t="shared" si="11"/>
        <v>-</v>
      </c>
      <c r="V74" s="1067">
        <f t="shared" si="9"/>
        <v>62.101900000000001</v>
      </c>
      <c r="X74" s="1043"/>
    </row>
    <row r="75" spans="1:24" s="1066" customFormat="1" ht="15" customHeight="1">
      <c r="A75" s="1078"/>
      <c r="B75" s="1082" t="s">
        <v>405</v>
      </c>
      <c r="C75" s="1074">
        <v>16</v>
      </c>
      <c r="D75" s="1073">
        <v>1</v>
      </c>
      <c r="E75" s="1072">
        <v>3</v>
      </c>
      <c r="F75" s="1071">
        <v>18.350000000000001</v>
      </c>
      <c r="G75" s="1070" t="str">
        <f t="shared" si="11"/>
        <v>-</v>
      </c>
      <c r="H75" s="1069" t="str">
        <f t="shared" si="11"/>
        <v>-</v>
      </c>
      <c r="I75" s="1069" t="str">
        <f t="shared" si="11"/>
        <v>-</v>
      </c>
      <c r="J75" s="1069" t="str">
        <f t="shared" si="11"/>
        <v>-</v>
      </c>
      <c r="K75" s="1069">
        <f t="shared" si="11"/>
        <v>55.050000000000004</v>
      </c>
      <c r="L75" s="1069" t="str">
        <f t="shared" si="11"/>
        <v>-</v>
      </c>
      <c r="M75" s="1069" t="str">
        <f t="shared" si="11"/>
        <v>-</v>
      </c>
      <c r="N75" s="1069" t="str">
        <f t="shared" si="11"/>
        <v>-</v>
      </c>
      <c r="O75" s="1069" t="str">
        <f t="shared" si="11"/>
        <v>-</v>
      </c>
      <c r="P75" s="1069" t="str">
        <f t="shared" si="11"/>
        <v>-</v>
      </c>
      <c r="Q75" s="1069" t="str">
        <f t="shared" si="11"/>
        <v>-</v>
      </c>
      <c r="R75" s="1069" t="str">
        <f t="shared" si="11"/>
        <v>-</v>
      </c>
      <c r="S75" s="1069" t="str">
        <f t="shared" si="11"/>
        <v>-</v>
      </c>
      <c r="T75" s="1069" t="str">
        <f t="shared" si="11"/>
        <v>-</v>
      </c>
      <c r="U75" s="1068" t="str">
        <f t="shared" si="11"/>
        <v>-</v>
      </c>
      <c r="V75" s="1067">
        <f t="shared" si="9"/>
        <v>86.868900000000011</v>
      </c>
      <c r="X75" s="1043"/>
    </row>
    <row r="76" spans="1:24" s="1066" customFormat="1" ht="15" customHeight="1">
      <c r="A76" s="1078"/>
      <c r="B76" s="1075"/>
      <c r="C76" s="1074">
        <v>16</v>
      </c>
      <c r="D76" s="1073">
        <v>1</v>
      </c>
      <c r="E76" s="1072">
        <v>2</v>
      </c>
      <c r="F76" s="1071">
        <v>18.350000000000001</v>
      </c>
      <c r="G76" s="1070" t="str">
        <f t="shared" si="11"/>
        <v>-</v>
      </c>
      <c r="H76" s="1069" t="str">
        <f t="shared" si="11"/>
        <v>-</v>
      </c>
      <c r="I76" s="1069" t="str">
        <f t="shared" si="11"/>
        <v>-</v>
      </c>
      <c r="J76" s="1069" t="str">
        <f t="shared" si="11"/>
        <v>-</v>
      </c>
      <c r="K76" s="1069">
        <f t="shared" si="11"/>
        <v>36.700000000000003</v>
      </c>
      <c r="L76" s="1069" t="str">
        <f t="shared" si="11"/>
        <v>-</v>
      </c>
      <c r="M76" s="1069" t="str">
        <f t="shared" si="11"/>
        <v>-</v>
      </c>
      <c r="N76" s="1069" t="str">
        <f t="shared" si="11"/>
        <v>-</v>
      </c>
      <c r="O76" s="1069" t="str">
        <f t="shared" si="11"/>
        <v>-</v>
      </c>
      <c r="P76" s="1069" t="str">
        <f t="shared" si="11"/>
        <v>-</v>
      </c>
      <c r="Q76" s="1069" t="str">
        <f t="shared" si="11"/>
        <v>-</v>
      </c>
      <c r="R76" s="1069" t="str">
        <f t="shared" si="11"/>
        <v>-</v>
      </c>
      <c r="S76" s="1069" t="str">
        <f t="shared" si="11"/>
        <v>-</v>
      </c>
      <c r="T76" s="1069" t="str">
        <f t="shared" si="11"/>
        <v>-</v>
      </c>
      <c r="U76" s="1068" t="str">
        <f t="shared" si="11"/>
        <v>-</v>
      </c>
      <c r="V76" s="1067">
        <f t="shared" si="9"/>
        <v>57.912600000000005</v>
      </c>
      <c r="X76" s="1043"/>
    </row>
    <row r="77" spans="1:24" s="1066" customFormat="1" ht="15" customHeight="1">
      <c r="A77" s="1078"/>
      <c r="B77" s="1075"/>
      <c r="C77" s="1074">
        <v>16</v>
      </c>
      <c r="D77" s="1073">
        <v>1</v>
      </c>
      <c r="E77" s="1072">
        <v>3</v>
      </c>
      <c r="F77" s="1071">
        <v>18.350000000000001</v>
      </c>
      <c r="G77" s="1070" t="str">
        <f t="shared" si="11"/>
        <v>-</v>
      </c>
      <c r="H77" s="1069" t="str">
        <f t="shared" si="11"/>
        <v>-</v>
      </c>
      <c r="I77" s="1069" t="str">
        <f t="shared" si="11"/>
        <v>-</v>
      </c>
      <c r="J77" s="1069" t="str">
        <f t="shared" si="11"/>
        <v>-</v>
      </c>
      <c r="K77" s="1069">
        <f t="shared" si="11"/>
        <v>55.050000000000004</v>
      </c>
      <c r="L77" s="1069" t="str">
        <f t="shared" si="11"/>
        <v>-</v>
      </c>
      <c r="M77" s="1069" t="str">
        <f t="shared" si="11"/>
        <v>-</v>
      </c>
      <c r="N77" s="1069" t="str">
        <f t="shared" si="11"/>
        <v>-</v>
      </c>
      <c r="O77" s="1069" t="str">
        <f t="shared" si="11"/>
        <v>-</v>
      </c>
      <c r="P77" s="1069" t="str">
        <f t="shared" si="11"/>
        <v>-</v>
      </c>
      <c r="Q77" s="1069" t="str">
        <f t="shared" si="11"/>
        <v>-</v>
      </c>
      <c r="R77" s="1069" t="str">
        <f t="shared" si="11"/>
        <v>-</v>
      </c>
      <c r="S77" s="1069" t="str">
        <f t="shared" si="11"/>
        <v>-</v>
      </c>
      <c r="T77" s="1069" t="str">
        <f t="shared" si="11"/>
        <v>-</v>
      </c>
      <c r="U77" s="1068" t="str">
        <f t="shared" si="11"/>
        <v>-</v>
      </c>
      <c r="V77" s="1067">
        <f t="shared" si="9"/>
        <v>86.868900000000011</v>
      </c>
      <c r="X77" s="1043"/>
    </row>
    <row r="78" spans="1:24" s="1066" customFormat="1" ht="15" customHeight="1">
      <c r="A78" s="1078"/>
      <c r="B78" s="1075"/>
      <c r="C78" s="1074">
        <v>16</v>
      </c>
      <c r="D78" s="1073">
        <v>1</v>
      </c>
      <c r="E78" s="1072">
        <v>2</v>
      </c>
      <c r="F78" s="1071">
        <v>18.350000000000001</v>
      </c>
      <c r="G78" s="1070" t="str">
        <f t="shared" si="11"/>
        <v>-</v>
      </c>
      <c r="H78" s="1069" t="str">
        <f t="shared" si="11"/>
        <v>-</v>
      </c>
      <c r="I78" s="1069" t="str">
        <f t="shared" si="11"/>
        <v>-</v>
      </c>
      <c r="J78" s="1069" t="str">
        <f t="shared" si="11"/>
        <v>-</v>
      </c>
      <c r="K78" s="1069">
        <f t="shared" si="11"/>
        <v>36.700000000000003</v>
      </c>
      <c r="L78" s="1069" t="str">
        <f t="shared" si="11"/>
        <v>-</v>
      </c>
      <c r="M78" s="1069" t="str">
        <f t="shared" si="11"/>
        <v>-</v>
      </c>
      <c r="N78" s="1069" t="str">
        <f t="shared" si="11"/>
        <v>-</v>
      </c>
      <c r="O78" s="1069" t="str">
        <f t="shared" si="11"/>
        <v>-</v>
      </c>
      <c r="P78" s="1069" t="str">
        <f t="shared" si="11"/>
        <v>-</v>
      </c>
      <c r="Q78" s="1069" t="str">
        <f t="shared" si="11"/>
        <v>-</v>
      </c>
      <c r="R78" s="1069" t="str">
        <f t="shared" si="11"/>
        <v>-</v>
      </c>
      <c r="S78" s="1069" t="str">
        <f t="shared" si="11"/>
        <v>-</v>
      </c>
      <c r="T78" s="1069" t="str">
        <f t="shared" si="11"/>
        <v>-</v>
      </c>
      <c r="U78" s="1068" t="str">
        <f t="shared" si="11"/>
        <v>-</v>
      </c>
      <c r="V78" s="1067">
        <f t="shared" si="9"/>
        <v>57.912600000000005</v>
      </c>
      <c r="X78" s="1043"/>
    </row>
    <row r="79" spans="1:24" s="1066" customFormat="1" ht="15" customHeight="1">
      <c r="A79" s="1078"/>
      <c r="B79" s="1081"/>
      <c r="C79" s="1074">
        <v>8</v>
      </c>
      <c r="D79" s="1073">
        <v>1</v>
      </c>
      <c r="E79" s="1072">
        <f>F75/0.15</f>
        <v>122.33333333333334</v>
      </c>
      <c r="F79" s="1080">
        <v>1.4</v>
      </c>
      <c r="G79" s="1070">
        <f t="shared" ref="G79:U88" si="12">IF($C79=G$3,$D79*$E79*$F79,"-")</f>
        <v>171.26666666666668</v>
      </c>
      <c r="H79" s="1069" t="str">
        <f t="shared" si="12"/>
        <v>-</v>
      </c>
      <c r="I79" s="1069" t="str">
        <f t="shared" si="12"/>
        <v>-</v>
      </c>
      <c r="J79" s="1069" t="str">
        <f t="shared" si="12"/>
        <v>-</v>
      </c>
      <c r="K79" s="1069" t="str">
        <f t="shared" si="12"/>
        <v>-</v>
      </c>
      <c r="L79" s="1069" t="str">
        <f t="shared" si="12"/>
        <v>-</v>
      </c>
      <c r="M79" s="1069" t="str">
        <f t="shared" si="12"/>
        <v>-</v>
      </c>
      <c r="N79" s="1069" t="str">
        <f t="shared" si="12"/>
        <v>-</v>
      </c>
      <c r="O79" s="1069" t="str">
        <f t="shared" si="12"/>
        <v>-</v>
      </c>
      <c r="P79" s="1069" t="str">
        <f t="shared" si="12"/>
        <v>-</v>
      </c>
      <c r="Q79" s="1069" t="str">
        <f t="shared" si="12"/>
        <v>-</v>
      </c>
      <c r="R79" s="1069" t="str">
        <f t="shared" si="12"/>
        <v>-</v>
      </c>
      <c r="S79" s="1069" t="str">
        <f t="shared" si="12"/>
        <v>-</v>
      </c>
      <c r="T79" s="1069" t="str">
        <f t="shared" si="12"/>
        <v>-</v>
      </c>
      <c r="U79" s="1068" t="str">
        <f t="shared" si="12"/>
        <v>-</v>
      </c>
      <c r="V79" s="1067">
        <f t="shared" si="9"/>
        <v>67.650333333333336</v>
      </c>
      <c r="X79" s="1043"/>
    </row>
    <row r="80" spans="1:24" s="1066" customFormat="1" ht="15" customHeight="1">
      <c r="A80" s="1078"/>
      <c r="B80" s="1082" t="s">
        <v>406</v>
      </c>
      <c r="C80" s="1074">
        <v>16</v>
      </c>
      <c r="D80" s="1073">
        <v>1</v>
      </c>
      <c r="E80" s="1072">
        <v>3</v>
      </c>
      <c r="F80" s="1071">
        <v>11.96</v>
      </c>
      <c r="G80" s="1070" t="str">
        <f t="shared" si="12"/>
        <v>-</v>
      </c>
      <c r="H80" s="1069" t="str">
        <f t="shared" si="12"/>
        <v>-</v>
      </c>
      <c r="I80" s="1069" t="str">
        <f t="shared" si="12"/>
        <v>-</v>
      </c>
      <c r="J80" s="1069" t="str">
        <f t="shared" si="12"/>
        <v>-</v>
      </c>
      <c r="K80" s="1069">
        <f t="shared" si="12"/>
        <v>35.880000000000003</v>
      </c>
      <c r="L80" s="1069" t="str">
        <f t="shared" si="12"/>
        <v>-</v>
      </c>
      <c r="M80" s="1069" t="str">
        <f t="shared" si="12"/>
        <v>-</v>
      </c>
      <c r="N80" s="1069" t="str">
        <f t="shared" si="12"/>
        <v>-</v>
      </c>
      <c r="O80" s="1069" t="str">
        <f t="shared" si="12"/>
        <v>-</v>
      </c>
      <c r="P80" s="1069" t="str">
        <f t="shared" si="12"/>
        <v>-</v>
      </c>
      <c r="Q80" s="1069" t="str">
        <f t="shared" si="12"/>
        <v>-</v>
      </c>
      <c r="R80" s="1069" t="str">
        <f t="shared" si="12"/>
        <v>-</v>
      </c>
      <c r="S80" s="1069" t="str">
        <f t="shared" si="12"/>
        <v>-</v>
      </c>
      <c r="T80" s="1069" t="str">
        <f t="shared" si="12"/>
        <v>-</v>
      </c>
      <c r="U80" s="1068" t="str">
        <f t="shared" si="12"/>
        <v>-</v>
      </c>
      <c r="V80" s="1067">
        <f t="shared" si="9"/>
        <v>56.618640000000006</v>
      </c>
      <c r="X80" s="1043"/>
    </row>
    <row r="81" spans="1:24" s="1066" customFormat="1" ht="15" customHeight="1">
      <c r="A81" s="1076"/>
      <c r="B81" s="1075"/>
      <c r="C81" s="1074">
        <v>16</v>
      </c>
      <c r="D81" s="1073">
        <v>1</v>
      </c>
      <c r="E81" s="1072">
        <v>2</v>
      </c>
      <c r="F81" s="1071">
        <v>11.96</v>
      </c>
      <c r="G81" s="1070" t="str">
        <f t="shared" si="12"/>
        <v>-</v>
      </c>
      <c r="H81" s="1069" t="str">
        <f t="shared" si="12"/>
        <v>-</v>
      </c>
      <c r="I81" s="1069" t="str">
        <f t="shared" si="12"/>
        <v>-</v>
      </c>
      <c r="J81" s="1069" t="str">
        <f t="shared" si="12"/>
        <v>-</v>
      </c>
      <c r="K81" s="1069">
        <f t="shared" si="12"/>
        <v>23.92</v>
      </c>
      <c r="L81" s="1069" t="str">
        <f t="shared" si="12"/>
        <v>-</v>
      </c>
      <c r="M81" s="1069" t="str">
        <f t="shared" si="12"/>
        <v>-</v>
      </c>
      <c r="N81" s="1069" t="str">
        <f t="shared" si="12"/>
        <v>-</v>
      </c>
      <c r="O81" s="1069" t="str">
        <f t="shared" si="12"/>
        <v>-</v>
      </c>
      <c r="P81" s="1069" t="str">
        <f t="shared" si="12"/>
        <v>-</v>
      </c>
      <c r="Q81" s="1069" t="str">
        <f t="shared" si="12"/>
        <v>-</v>
      </c>
      <c r="R81" s="1069" t="str">
        <f t="shared" si="12"/>
        <v>-</v>
      </c>
      <c r="S81" s="1069" t="str">
        <f t="shared" si="12"/>
        <v>-</v>
      </c>
      <c r="T81" s="1069" t="str">
        <f t="shared" si="12"/>
        <v>-</v>
      </c>
      <c r="U81" s="1068" t="str">
        <f t="shared" si="12"/>
        <v>-</v>
      </c>
      <c r="V81" s="1067">
        <f t="shared" ref="V81:V102" si="13">SUMPRODUCT(G81:U81,$G$2:$U$2)</f>
        <v>37.745760000000004</v>
      </c>
      <c r="X81" s="1043"/>
    </row>
    <row r="82" spans="1:24" s="1066" customFormat="1" ht="15" customHeight="1">
      <c r="A82" s="1076"/>
      <c r="B82" s="1075"/>
      <c r="C82" s="1074">
        <v>10</v>
      </c>
      <c r="D82" s="1073">
        <v>1</v>
      </c>
      <c r="E82" s="1072">
        <v>2</v>
      </c>
      <c r="F82" s="1071">
        <v>11.96</v>
      </c>
      <c r="G82" s="1070" t="str">
        <f t="shared" si="12"/>
        <v>-</v>
      </c>
      <c r="H82" s="1069">
        <f t="shared" si="12"/>
        <v>23.92</v>
      </c>
      <c r="I82" s="1069" t="str">
        <f t="shared" si="12"/>
        <v>-</v>
      </c>
      <c r="J82" s="1069" t="str">
        <f t="shared" si="12"/>
        <v>-</v>
      </c>
      <c r="K82" s="1069" t="str">
        <f t="shared" si="12"/>
        <v>-</v>
      </c>
      <c r="L82" s="1069" t="str">
        <f t="shared" si="12"/>
        <v>-</v>
      </c>
      <c r="M82" s="1069" t="str">
        <f t="shared" si="12"/>
        <v>-</v>
      </c>
      <c r="N82" s="1069" t="str">
        <f t="shared" si="12"/>
        <v>-</v>
      </c>
      <c r="O82" s="1069" t="str">
        <f t="shared" si="12"/>
        <v>-</v>
      </c>
      <c r="P82" s="1069" t="str">
        <f t="shared" si="12"/>
        <v>-</v>
      </c>
      <c r="Q82" s="1069" t="str">
        <f t="shared" si="12"/>
        <v>-</v>
      </c>
      <c r="R82" s="1069" t="str">
        <f t="shared" si="12"/>
        <v>-</v>
      </c>
      <c r="S82" s="1069" t="str">
        <f t="shared" si="12"/>
        <v>-</v>
      </c>
      <c r="T82" s="1069" t="str">
        <f t="shared" si="12"/>
        <v>-</v>
      </c>
      <c r="U82" s="1068" t="str">
        <f t="shared" si="12"/>
        <v>-</v>
      </c>
      <c r="V82" s="1067">
        <f t="shared" si="13"/>
        <v>14.758640000000002</v>
      </c>
      <c r="X82" s="1043"/>
    </row>
    <row r="83" spans="1:24" s="1066" customFormat="1" ht="15" customHeight="1">
      <c r="A83" s="1076"/>
      <c r="B83" s="1075"/>
      <c r="C83" s="1074">
        <v>16</v>
      </c>
      <c r="D83" s="1073">
        <v>1</v>
      </c>
      <c r="E83" s="1072">
        <v>3</v>
      </c>
      <c r="F83" s="1071">
        <v>11.96</v>
      </c>
      <c r="G83" s="1070" t="str">
        <f t="shared" si="12"/>
        <v>-</v>
      </c>
      <c r="H83" s="1069" t="str">
        <f t="shared" si="12"/>
        <v>-</v>
      </c>
      <c r="I83" s="1069" t="str">
        <f t="shared" si="12"/>
        <v>-</v>
      </c>
      <c r="J83" s="1069" t="str">
        <f t="shared" si="12"/>
        <v>-</v>
      </c>
      <c r="K83" s="1069">
        <f t="shared" si="12"/>
        <v>35.880000000000003</v>
      </c>
      <c r="L83" s="1069" t="str">
        <f t="shared" si="12"/>
        <v>-</v>
      </c>
      <c r="M83" s="1069" t="str">
        <f t="shared" si="12"/>
        <v>-</v>
      </c>
      <c r="N83" s="1069" t="str">
        <f t="shared" si="12"/>
        <v>-</v>
      </c>
      <c r="O83" s="1069" t="str">
        <f t="shared" si="12"/>
        <v>-</v>
      </c>
      <c r="P83" s="1069" t="str">
        <f t="shared" si="12"/>
        <v>-</v>
      </c>
      <c r="Q83" s="1069" t="str">
        <f t="shared" si="12"/>
        <v>-</v>
      </c>
      <c r="R83" s="1069" t="str">
        <f t="shared" si="12"/>
        <v>-</v>
      </c>
      <c r="S83" s="1069" t="str">
        <f t="shared" si="12"/>
        <v>-</v>
      </c>
      <c r="T83" s="1069" t="str">
        <f t="shared" si="12"/>
        <v>-</v>
      </c>
      <c r="U83" s="1068" t="str">
        <f t="shared" si="12"/>
        <v>-</v>
      </c>
      <c r="V83" s="1067">
        <f t="shared" si="13"/>
        <v>56.618640000000006</v>
      </c>
      <c r="X83" s="1043"/>
    </row>
    <row r="84" spans="1:24" s="1066" customFormat="1" ht="15" customHeight="1">
      <c r="A84" s="1076"/>
      <c r="B84" s="1075"/>
      <c r="C84" s="1074">
        <v>16</v>
      </c>
      <c r="D84" s="1073">
        <v>1</v>
      </c>
      <c r="E84" s="1072">
        <v>2</v>
      </c>
      <c r="F84" s="1071">
        <v>11.96</v>
      </c>
      <c r="G84" s="1070" t="str">
        <f t="shared" si="12"/>
        <v>-</v>
      </c>
      <c r="H84" s="1069" t="str">
        <f t="shared" si="12"/>
        <v>-</v>
      </c>
      <c r="I84" s="1069" t="str">
        <f t="shared" si="12"/>
        <v>-</v>
      </c>
      <c r="J84" s="1069" t="str">
        <f t="shared" si="12"/>
        <v>-</v>
      </c>
      <c r="K84" s="1069">
        <f t="shared" si="12"/>
        <v>23.92</v>
      </c>
      <c r="L84" s="1069" t="str">
        <f t="shared" si="12"/>
        <v>-</v>
      </c>
      <c r="M84" s="1069" t="str">
        <f t="shared" si="12"/>
        <v>-</v>
      </c>
      <c r="N84" s="1069" t="str">
        <f t="shared" si="12"/>
        <v>-</v>
      </c>
      <c r="O84" s="1069" t="str">
        <f t="shared" si="12"/>
        <v>-</v>
      </c>
      <c r="P84" s="1069" t="str">
        <f t="shared" si="12"/>
        <v>-</v>
      </c>
      <c r="Q84" s="1069" t="str">
        <f t="shared" si="12"/>
        <v>-</v>
      </c>
      <c r="R84" s="1069" t="str">
        <f t="shared" si="12"/>
        <v>-</v>
      </c>
      <c r="S84" s="1069" t="str">
        <f t="shared" si="12"/>
        <v>-</v>
      </c>
      <c r="T84" s="1069" t="str">
        <f t="shared" si="12"/>
        <v>-</v>
      </c>
      <c r="U84" s="1068" t="str">
        <f t="shared" si="12"/>
        <v>-</v>
      </c>
      <c r="V84" s="1067">
        <f t="shared" si="13"/>
        <v>37.745760000000004</v>
      </c>
      <c r="X84" s="1043"/>
    </row>
    <row r="85" spans="1:24" s="1066" customFormat="1" ht="15" customHeight="1">
      <c r="A85" s="1078"/>
      <c r="B85" s="1081"/>
      <c r="C85" s="1074">
        <v>8</v>
      </c>
      <c r="D85" s="1073">
        <v>1</v>
      </c>
      <c r="E85" s="1072">
        <f>F80/0.15</f>
        <v>79.733333333333348</v>
      </c>
      <c r="F85" s="1080">
        <v>1.4</v>
      </c>
      <c r="G85" s="1070">
        <f t="shared" si="12"/>
        <v>111.62666666666668</v>
      </c>
      <c r="H85" s="1069" t="str">
        <f t="shared" si="12"/>
        <v>-</v>
      </c>
      <c r="I85" s="1069" t="str">
        <f t="shared" si="12"/>
        <v>-</v>
      </c>
      <c r="J85" s="1069" t="str">
        <f t="shared" si="12"/>
        <v>-</v>
      </c>
      <c r="K85" s="1069" t="str">
        <f t="shared" si="12"/>
        <v>-</v>
      </c>
      <c r="L85" s="1069" t="str">
        <f t="shared" si="12"/>
        <v>-</v>
      </c>
      <c r="M85" s="1069" t="str">
        <f t="shared" si="12"/>
        <v>-</v>
      </c>
      <c r="N85" s="1069" t="str">
        <f t="shared" si="12"/>
        <v>-</v>
      </c>
      <c r="O85" s="1069" t="str">
        <f t="shared" si="12"/>
        <v>-</v>
      </c>
      <c r="P85" s="1069" t="str">
        <f t="shared" si="12"/>
        <v>-</v>
      </c>
      <c r="Q85" s="1069" t="str">
        <f t="shared" si="12"/>
        <v>-</v>
      </c>
      <c r="R85" s="1069" t="str">
        <f t="shared" si="12"/>
        <v>-</v>
      </c>
      <c r="S85" s="1069" t="str">
        <f t="shared" si="12"/>
        <v>-</v>
      </c>
      <c r="T85" s="1069" t="str">
        <f t="shared" si="12"/>
        <v>-</v>
      </c>
      <c r="U85" s="1068" t="str">
        <f t="shared" si="12"/>
        <v>-</v>
      </c>
      <c r="V85" s="1067">
        <f t="shared" si="13"/>
        <v>44.092533333333343</v>
      </c>
      <c r="X85" s="1043"/>
    </row>
    <row r="86" spans="1:24" s="1066" customFormat="1" ht="15" customHeight="1">
      <c r="A86" s="1078"/>
      <c r="B86" s="1082" t="s">
        <v>667</v>
      </c>
      <c r="C86" s="1074">
        <v>16</v>
      </c>
      <c r="D86" s="1073">
        <v>1</v>
      </c>
      <c r="E86" s="1072">
        <v>3</v>
      </c>
      <c r="F86" s="1071">
        <v>27.66</v>
      </c>
      <c r="G86" s="1070" t="str">
        <f t="shared" si="12"/>
        <v>-</v>
      </c>
      <c r="H86" s="1069" t="str">
        <f t="shared" si="12"/>
        <v>-</v>
      </c>
      <c r="I86" s="1069" t="str">
        <f t="shared" si="12"/>
        <v>-</v>
      </c>
      <c r="J86" s="1069" t="str">
        <f t="shared" si="12"/>
        <v>-</v>
      </c>
      <c r="K86" s="1069">
        <f t="shared" si="12"/>
        <v>82.98</v>
      </c>
      <c r="L86" s="1069" t="str">
        <f t="shared" si="12"/>
        <v>-</v>
      </c>
      <c r="M86" s="1069" t="str">
        <f t="shared" si="12"/>
        <v>-</v>
      </c>
      <c r="N86" s="1069" t="str">
        <f t="shared" si="12"/>
        <v>-</v>
      </c>
      <c r="O86" s="1069" t="str">
        <f t="shared" si="12"/>
        <v>-</v>
      </c>
      <c r="P86" s="1069" t="str">
        <f t="shared" si="12"/>
        <v>-</v>
      </c>
      <c r="Q86" s="1069" t="str">
        <f t="shared" si="12"/>
        <v>-</v>
      </c>
      <c r="R86" s="1069" t="str">
        <f t="shared" si="12"/>
        <v>-</v>
      </c>
      <c r="S86" s="1069" t="str">
        <f t="shared" si="12"/>
        <v>-</v>
      </c>
      <c r="T86" s="1069" t="str">
        <f t="shared" si="12"/>
        <v>-</v>
      </c>
      <c r="U86" s="1068" t="str">
        <f t="shared" si="12"/>
        <v>-</v>
      </c>
      <c r="V86" s="1067">
        <f t="shared" si="13"/>
        <v>130.94244</v>
      </c>
      <c r="X86" s="1043"/>
    </row>
    <row r="87" spans="1:24" s="1066" customFormat="1" ht="15" customHeight="1">
      <c r="A87" s="1078"/>
      <c r="B87" s="1075"/>
      <c r="C87" s="1074">
        <v>16</v>
      </c>
      <c r="D87" s="1073">
        <v>1</v>
      </c>
      <c r="E87" s="1072">
        <v>3</v>
      </c>
      <c r="F87" s="1071">
        <v>27.66</v>
      </c>
      <c r="G87" s="1070" t="str">
        <f t="shared" si="12"/>
        <v>-</v>
      </c>
      <c r="H87" s="1069" t="str">
        <f t="shared" si="12"/>
        <v>-</v>
      </c>
      <c r="I87" s="1069" t="str">
        <f t="shared" si="12"/>
        <v>-</v>
      </c>
      <c r="J87" s="1069" t="str">
        <f t="shared" si="12"/>
        <v>-</v>
      </c>
      <c r="K87" s="1069">
        <f t="shared" si="12"/>
        <v>82.98</v>
      </c>
      <c r="L87" s="1069" t="str">
        <f t="shared" si="12"/>
        <v>-</v>
      </c>
      <c r="M87" s="1069" t="str">
        <f t="shared" si="12"/>
        <v>-</v>
      </c>
      <c r="N87" s="1069" t="str">
        <f t="shared" si="12"/>
        <v>-</v>
      </c>
      <c r="O87" s="1069" t="str">
        <f t="shared" si="12"/>
        <v>-</v>
      </c>
      <c r="P87" s="1069" t="str">
        <f t="shared" si="12"/>
        <v>-</v>
      </c>
      <c r="Q87" s="1069" t="str">
        <f t="shared" si="12"/>
        <v>-</v>
      </c>
      <c r="R87" s="1069" t="str">
        <f t="shared" si="12"/>
        <v>-</v>
      </c>
      <c r="S87" s="1069" t="str">
        <f t="shared" si="12"/>
        <v>-</v>
      </c>
      <c r="T87" s="1069" t="str">
        <f t="shared" si="12"/>
        <v>-</v>
      </c>
      <c r="U87" s="1068" t="str">
        <f t="shared" si="12"/>
        <v>-</v>
      </c>
      <c r="V87" s="1067">
        <f t="shared" si="13"/>
        <v>130.94244</v>
      </c>
      <c r="X87" s="1043"/>
    </row>
    <row r="88" spans="1:24" s="1066" customFormat="1" ht="15" customHeight="1">
      <c r="A88" s="1078"/>
      <c r="B88" s="1075"/>
      <c r="C88" s="1074">
        <v>10</v>
      </c>
      <c r="D88" s="1073">
        <v>1</v>
      </c>
      <c r="E88" s="1072">
        <v>2</v>
      </c>
      <c r="F88" s="1071">
        <v>27.66</v>
      </c>
      <c r="G88" s="1070" t="str">
        <f t="shared" si="12"/>
        <v>-</v>
      </c>
      <c r="H88" s="1069">
        <f t="shared" si="12"/>
        <v>55.32</v>
      </c>
      <c r="I88" s="1069" t="str">
        <f t="shared" si="12"/>
        <v>-</v>
      </c>
      <c r="J88" s="1069" t="str">
        <f t="shared" si="12"/>
        <v>-</v>
      </c>
      <c r="K88" s="1069" t="str">
        <f t="shared" si="12"/>
        <v>-</v>
      </c>
      <c r="L88" s="1069" t="str">
        <f t="shared" si="12"/>
        <v>-</v>
      </c>
      <c r="M88" s="1069" t="str">
        <f t="shared" si="12"/>
        <v>-</v>
      </c>
      <c r="N88" s="1069" t="str">
        <f t="shared" si="12"/>
        <v>-</v>
      </c>
      <c r="O88" s="1069" t="str">
        <f t="shared" si="12"/>
        <v>-</v>
      </c>
      <c r="P88" s="1069" t="str">
        <f t="shared" si="12"/>
        <v>-</v>
      </c>
      <c r="Q88" s="1069" t="str">
        <f t="shared" si="12"/>
        <v>-</v>
      </c>
      <c r="R88" s="1069" t="str">
        <f t="shared" si="12"/>
        <v>-</v>
      </c>
      <c r="S88" s="1069" t="str">
        <f t="shared" si="12"/>
        <v>-</v>
      </c>
      <c r="T88" s="1069" t="str">
        <f t="shared" si="12"/>
        <v>-</v>
      </c>
      <c r="U88" s="1068" t="str">
        <f t="shared" si="12"/>
        <v>-</v>
      </c>
      <c r="V88" s="1067">
        <f t="shared" si="13"/>
        <v>34.132440000000003</v>
      </c>
      <c r="X88" s="1043"/>
    </row>
    <row r="89" spans="1:24" s="1066" customFormat="1" ht="15" customHeight="1">
      <c r="A89" s="1078"/>
      <c r="B89" s="1075"/>
      <c r="C89" s="1074">
        <v>16</v>
      </c>
      <c r="D89" s="1073">
        <v>1</v>
      </c>
      <c r="E89" s="1072">
        <v>3</v>
      </c>
      <c r="F89" s="1071">
        <v>27.66</v>
      </c>
      <c r="G89" s="1070" t="str">
        <f t="shared" ref="G89:U102" si="14">IF($C89=G$3,$D89*$E89*$F89,"-")</f>
        <v>-</v>
      </c>
      <c r="H89" s="1069" t="str">
        <f t="shared" si="14"/>
        <v>-</v>
      </c>
      <c r="I89" s="1069" t="str">
        <f t="shared" si="14"/>
        <v>-</v>
      </c>
      <c r="J89" s="1069" t="str">
        <f t="shared" si="14"/>
        <v>-</v>
      </c>
      <c r="K89" s="1069">
        <f t="shared" si="14"/>
        <v>82.98</v>
      </c>
      <c r="L89" s="1069" t="str">
        <f t="shared" si="14"/>
        <v>-</v>
      </c>
      <c r="M89" s="1069" t="str">
        <f t="shared" si="14"/>
        <v>-</v>
      </c>
      <c r="N89" s="1069" t="str">
        <f t="shared" si="14"/>
        <v>-</v>
      </c>
      <c r="O89" s="1069" t="str">
        <f t="shared" si="14"/>
        <v>-</v>
      </c>
      <c r="P89" s="1069" t="str">
        <f t="shared" si="14"/>
        <v>-</v>
      </c>
      <c r="Q89" s="1069" t="str">
        <f t="shared" si="14"/>
        <v>-</v>
      </c>
      <c r="R89" s="1069" t="str">
        <f t="shared" si="14"/>
        <v>-</v>
      </c>
      <c r="S89" s="1069" t="str">
        <f t="shared" si="14"/>
        <v>-</v>
      </c>
      <c r="T89" s="1069" t="str">
        <f t="shared" si="14"/>
        <v>-</v>
      </c>
      <c r="U89" s="1068" t="str">
        <f t="shared" si="14"/>
        <v>-</v>
      </c>
      <c r="V89" s="1067">
        <f t="shared" si="13"/>
        <v>130.94244</v>
      </c>
      <c r="X89" s="1043"/>
    </row>
    <row r="90" spans="1:24" s="1066" customFormat="1" ht="23.1" customHeight="1">
      <c r="A90" s="1076"/>
      <c r="B90" s="1081"/>
      <c r="C90" s="1074">
        <v>16</v>
      </c>
      <c r="D90" s="1073">
        <v>1</v>
      </c>
      <c r="E90" s="1072">
        <v>3</v>
      </c>
      <c r="F90" s="1071">
        <v>27.66</v>
      </c>
      <c r="G90" s="1070" t="str">
        <f t="shared" si="14"/>
        <v>-</v>
      </c>
      <c r="H90" s="1069" t="str">
        <f t="shared" si="14"/>
        <v>-</v>
      </c>
      <c r="I90" s="1069" t="str">
        <f t="shared" si="14"/>
        <v>-</v>
      </c>
      <c r="J90" s="1069" t="str">
        <f t="shared" si="14"/>
        <v>-</v>
      </c>
      <c r="K90" s="1069">
        <f t="shared" si="14"/>
        <v>82.98</v>
      </c>
      <c r="L90" s="1069" t="str">
        <f t="shared" si="14"/>
        <v>-</v>
      </c>
      <c r="M90" s="1069" t="str">
        <f t="shared" si="14"/>
        <v>-</v>
      </c>
      <c r="N90" s="1069" t="str">
        <f t="shared" si="14"/>
        <v>-</v>
      </c>
      <c r="O90" s="1069" t="str">
        <f t="shared" si="14"/>
        <v>-</v>
      </c>
      <c r="P90" s="1069" t="str">
        <f t="shared" si="14"/>
        <v>-</v>
      </c>
      <c r="Q90" s="1069" t="str">
        <f t="shared" si="14"/>
        <v>-</v>
      </c>
      <c r="R90" s="1069" t="str">
        <f t="shared" si="14"/>
        <v>-</v>
      </c>
      <c r="S90" s="1069" t="str">
        <f t="shared" si="14"/>
        <v>-</v>
      </c>
      <c r="T90" s="1069" t="str">
        <f t="shared" si="14"/>
        <v>-</v>
      </c>
      <c r="U90" s="1068" t="str">
        <f t="shared" si="14"/>
        <v>-</v>
      </c>
      <c r="V90" s="1067">
        <f t="shared" si="13"/>
        <v>130.94244</v>
      </c>
      <c r="X90" s="1043"/>
    </row>
    <row r="91" spans="1:24" s="1066" customFormat="1" ht="15" customHeight="1">
      <c r="A91" s="1076"/>
      <c r="B91" s="1075"/>
      <c r="C91" s="1074">
        <v>8</v>
      </c>
      <c r="D91" s="1073">
        <v>1</v>
      </c>
      <c r="E91" s="1072">
        <f>F87/0.15</f>
        <v>184.4</v>
      </c>
      <c r="F91" s="1080">
        <v>1.4</v>
      </c>
      <c r="G91" s="1070">
        <f t="shared" si="14"/>
        <v>258.15999999999997</v>
      </c>
      <c r="H91" s="1069" t="str">
        <f t="shared" si="14"/>
        <v>-</v>
      </c>
      <c r="I91" s="1069" t="str">
        <f t="shared" si="14"/>
        <v>-</v>
      </c>
      <c r="J91" s="1069" t="str">
        <f t="shared" si="14"/>
        <v>-</v>
      </c>
      <c r="K91" s="1069" t="str">
        <f t="shared" si="14"/>
        <v>-</v>
      </c>
      <c r="L91" s="1069" t="str">
        <f t="shared" si="14"/>
        <v>-</v>
      </c>
      <c r="M91" s="1069" t="str">
        <f t="shared" si="14"/>
        <v>-</v>
      </c>
      <c r="N91" s="1069" t="str">
        <f t="shared" si="14"/>
        <v>-</v>
      </c>
      <c r="O91" s="1069" t="str">
        <f t="shared" si="14"/>
        <v>-</v>
      </c>
      <c r="P91" s="1069" t="str">
        <f t="shared" si="14"/>
        <v>-</v>
      </c>
      <c r="Q91" s="1069" t="str">
        <f t="shared" si="14"/>
        <v>-</v>
      </c>
      <c r="R91" s="1069" t="str">
        <f t="shared" si="14"/>
        <v>-</v>
      </c>
      <c r="S91" s="1069" t="str">
        <f t="shared" si="14"/>
        <v>-</v>
      </c>
      <c r="T91" s="1069" t="str">
        <f t="shared" si="14"/>
        <v>-</v>
      </c>
      <c r="U91" s="1068" t="str">
        <f t="shared" si="14"/>
        <v>-</v>
      </c>
      <c r="V91" s="1067">
        <f t="shared" si="13"/>
        <v>101.97319999999999</v>
      </c>
      <c r="X91" s="1043"/>
    </row>
    <row r="92" spans="1:24" s="1066" customFormat="1" ht="15" customHeight="1">
      <c r="A92" s="1076"/>
      <c r="B92" s="1082" t="s">
        <v>682</v>
      </c>
      <c r="C92" s="1074">
        <v>18</v>
      </c>
      <c r="D92" s="1073">
        <v>1</v>
      </c>
      <c r="E92" s="1072">
        <v>3</v>
      </c>
      <c r="F92" s="1071">
        <v>0</v>
      </c>
      <c r="G92" s="1070" t="str">
        <f t="shared" si="14"/>
        <v>-</v>
      </c>
      <c r="H92" s="1069" t="str">
        <f t="shared" si="14"/>
        <v>-</v>
      </c>
      <c r="I92" s="1069" t="str">
        <f t="shared" si="14"/>
        <v>-</v>
      </c>
      <c r="J92" s="1069" t="str">
        <f t="shared" si="14"/>
        <v>-</v>
      </c>
      <c r="K92" s="1069" t="str">
        <f t="shared" si="14"/>
        <v>-</v>
      </c>
      <c r="L92" s="1069">
        <f t="shared" si="14"/>
        <v>0</v>
      </c>
      <c r="M92" s="1069" t="str">
        <f t="shared" si="14"/>
        <v>-</v>
      </c>
      <c r="N92" s="1069" t="str">
        <f t="shared" si="14"/>
        <v>-</v>
      </c>
      <c r="O92" s="1069" t="str">
        <f t="shared" si="14"/>
        <v>-</v>
      </c>
      <c r="P92" s="1069" t="str">
        <f t="shared" si="14"/>
        <v>-</v>
      </c>
      <c r="Q92" s="1069" t="str">
        <f t="shared" si="14"/>
        <v>-</v>
      </c>
      <c r="R92" s="1069" t="str">
        <f t="shared" si="14"/>
        <v>-</v>
      </c>
      <c r="S92" s="1069" t="str">
        <f t="shared" si="14"/>
        <v>-</v>
      </c>
      <c r="T92" s="1069" t="str">
        <f t="shared" si="14"/>
        <v>-</v>
      </c>
      <c r="U92" s="1068" t="str">
        <f t="shared" si="14"/>
        <v>-</v>
      </c>
      <c r="V92" s="1067">
        <f t="shared" si="13"/>
        <v>0</v>
      </c>
      <c r="X92" s="1043"/>
    </row>
    <row r="93" spans="1:24" s="1066" customFormat="1" ht="15" customHeight="1">
      <c r="A93" s="1076"/>
      <c r="B93" s="1075"/>
      <c r="C93" s="1074">
        <v>18</v>
      </c>
      <c r="D93" s="1073">
        <v>1</v>
      </c>
      <c r="E93" s="1072">
        <v>3</v>
      </c>
      <c r="F93" s="1071">
        <v>0</v>
      </c>
      <c r="G93" s="1070" t="str">
        <f t="shared" si="14"/>
        <v>-</v>
      </c>
      <c r="H93" s="1069" t="str">
        <f t="shared" si="14"/>
        <v>-</v>
      </c>
      <c r="I93" s="1069" t="str">
        <f t="shared" si="14"/>
        <v>-</v>
      </c>
      <c r="J93" s="1069" t="str">
        <f t="shared" si="14"/>
        <v>-</v>
      </c>
      <c r="K93" s="1069" t="str">
        <f t="shared" si="14"/>
        <v>-</v>
      </c>
      <c r="L93" s="1069">
        <f t="shared" si="14"/>
        <v>0</v>
      </c>
      <c r="M93" s="1069" t="str">
        <f t="shared" si="14"/>
        <v>-</v>
      </c>
      <c r="N93" s="1069" t="str">
        <f t="shared" si="14"/>
        <v>-</v>
      </c>
      <c r="O93" s="1069" t="str">
        <f t="shared" si="14"/>
        <v>-</v>
      </c>
      <c r="P93" s="1069" t="str">
        <f t="shared" si="14"/>
        <v>-</v>
      </c>
      <c r="Q93" s="1069" t="str">
        <f t="shared" si="14"/>
        <v>-</v>
      </c>
      <c r="R93" s="1069" t="str">
        <f t="shared" si="14"/>
        <v>-</v>
      </c>
      <c r="S93" s="1069" t="str">
        <f t="shared" si="14"/>
        <v>-</v>
      </c>
      <c r="T93" s="1069" t="str">
        <f t="shared" si="14"/>
        <v>-</v>
      </c>
      <c r="U93" s="1068" t="str">
        <f t="shared" si="14"/>
        <v>-</v>
      </c>
      <c r="V93" s="1067">
        <f t="shared" si="13"/>
        <v>0</v>
      </c>
      <c r="X93" s="1043"/>
    </row>
    <row r="94" spans="1:24" s="1066" customFormat="1" ht="15" customHeight="1">
      <c r="A94" s="1078"/>
      <c r="B94" s="1075"/>
      <c r="C94" s="1074">
        <v>10</v>
      </c>
      <c r="D94" s="1073">
        <v>1</v>
      </c>
      <c r="E94" s="1072">
        <v>2</v>
      </c>
      <c r="F94" s="1071">
        <v>0</v>
      </c>
      <c r="G94" s="1070" t="str">
        <f t="shared" si="14"/>
        <v>-</v>
      </c>
      <c r="H94" s="1069">
        <f t="shared" si="14"/>
        <v>0</v>
      </c>
      <c r="I94" s="1069" t="str">
        <f t="shared" si="14"/>
        <v>-</v>
      </c>
      <c r="J94" s="1069" t="str">
        <f t="shared" si="14"/>
        <v>-</v>
      </c>
      <c r="K94" s="1069" t="str">
        <f t="shared" si="14"/>
        <v>-</v>
      </c>
      <c r="L94" s="1069" t="str">
        <f t="shared" si="14"/>
        <v>-</v>
      </c>
      <c r="M94" s="1069" t="str">
        <f t="shared" si="14"/>
        <v>-</v>
      </c>
      <c r="N94" s="1069" t="str">
        <f t="shared" si="14"/>
        <v>-</v>
      </c>
      <c r="O94" s="1069" t="str">
        <f t="shared" si="14"/>
        <v>-</v>
      </c>
      <c r="P94" s="1069" t="str">
        <f t="shared" si="14"/>
        <v>-</v>
      </c>
      <c r="Q94" s="1069" t="str">
        <f t="shared" si="14"/>
        <v>-</v>
      </c>
      <c r="R94" s="1069" t="str">
        <f t="shared" si="14"/>
        <v>-</v>
      </c>
      <c r="S94" s="1069" t="str">
        <f t="shared" si="14"/>
        <v>-</v>
      </c>
      <c r="T94" s="1069" t="str">
        <f t="shared" si="14"/>
        <v>-</v>
      </c>
      <c r="U94" s="1068" t="str">
        <f t="shared" si="14"/>
        <v>-</v>
      </c>
      <c r="V94" s="1067">
        <f t="shared" si="13"/>
        <v>0</v>
      </c>
      <c r="X94" s="1043"/>
    </row>
    <row r="95" spans="1:24" s="1066" customFormat="1" ht="15" customHeight="1">
      <c r="A95" s="1078"/>
      <c r="B95" s="1075"/>
      <c r="C95" s="1074">
        <v>18</v>
      </c>
      <c r="D95" s="1073">
        <v>1</v>
      </c>
      <c r="E95" s="1072">
        <v>3</v>
      </c>
      <c r="F95" s="1071">
        <v>0</v>
      </c>
      <c r="G95" s="1070" t="str">
        <f t="shared" si="14"/>
        <v>-</v>
      </c>
      <c r="H95" s="1069" t="str">
        <f t="shared" si="14"/>
        <v>-</v>
      </c>
      <c r="I95" s="1069" t="str">
        <f t="shared" si="14"/>
        <v>-</v>
      </c>
      <c r="J95" s="1069" t="str">
        <f t="shared" si="14"/>
        <v>-</v>
      </c>
      <c r="K95" s="1069" t="str">
        <f t="shared" si="14"/>
        <v>-</v>
      </c>
      <c r="L95" s="1069">
        <f t="shared" si="14"/>
        <v>0</v>
      </c>
      <c r="M95" s="1069" t="str">
        <f t="shared" si="14"/>
        <v>-</v>
      </c>
      <c r="N95" s="1069" t="str">
        <f t="shared" si="14"/>
        <v>-</v>
      </c>
      <c r="O95" s="1069" t="str">
        <f t="shared" si="14"/>
        <v>-</v>
      </c>
      <c r="P95" s="1069" t="str">
        <f t="shared" si="14"/>
        <v>-</v>
      </c>
      <c r="Q95" s="1069" t="str">
        <f t="shared" si="14"/>
        <v>-</v>
      </c>
      <c r="R95" s="1069" t="str">
        <f t="shared" si="14"/>
        <v>-</v>
      </c>
      <c r="S95" s="1069" t="str">
        <f t="shared" si="14"/>
        <v>-</v>
      </c>
      <c r="T95" s="1069" t="str">
        <f t="shared" si="14"/>
        <v>-</v>
      </c>
      <c r="U95" s="1068" t="str">
        <f t="shared" si="14"/>
        <v>-</v>
      </c>
      <c r="V95" s="1067">
        <f t="shared" si="13"/>
        <v>0</v>
      </c>
      <c r="X95" s="1043"/>
    </row>
    <row r="96" spans="1:24" s="1066" customFormat="1" ht="15" customHeight="1">
      <c r="A96" s="1078"/>
      <c r="B96" s="1081"/>
      <c r="C96" s="1074">
        <v>18</v>
      </c>
      <c r="D96" s="1073">
        <v>1</v>
      </c>
      <c r="E96" s="1072">
        <v>3</v>
      </c>
      <c r="F96" s="1071">
        <v>0</v>
      </c>
      <c r="G96" s="1070" t="str">
        <f t="shared" si="14"/>
        <v>-</v>
      </c>
      <c r="H96" s="1069" t="str">
        <f t="shared" si="14"/>
        <v>-</v>
      </c>
      <c r="I96" s="1069" t="str">
        <f t="shared" si="14"/>
        <v>-</v>
      </c>
      <c r="J96" s="1069" t="str">
        <f t="shared" si="14"/>
        <v>-</v>
      </c>
      <c r="K96" s="1069" t="str">
        <f t="shared" si="14"/>
        <v>-</v>
      </c>
      <c r="L96" s="1069">
        <f t="shared" si="14"/>
        <v>0</v>
      </c>
      <c r="M96" s="1069" t="str">
        <f t="shared" si="14"/>
        <v>-</v>
      </c>
      <c r="N96" s="1069" t="str">
        <f t="shared" si="14"/>
        <v>-</v>
      </c>
      <c r="O96" s="1069" t="str">
        <f t="shared" si="14"/>
        <v>-</v>
      </c>
      <c r="P96" s="1069" t="str">
        <f t="shared" si="14"/>
        <v>-</v>
      </c>
      <c r="Q96" s="1069" t="str">
        <f t="shared" si="14"/>
        <v>-</v>
      </c>
      <c r="R96" s="1069" t="str">
        <f t="shared" si="14"/>
        <v>-</v>
      </c>
      <c r="S96" s="1069" t="str">
        <f t="shared" si="14"/>
        <v>-</v>
      </c>
      <c r="T96" s="1069" t="str">
        <f t="shared" si="14"/>
        <v>-</v>
      </c>
      <c r="U96" s="1068" t="str">
        <f t="shared" si="14"/>
        <v>-</v>
      </c>
      <c r="V96" s="1067">
        <f t="shared" si="13"/>
        <v>0</v>
      </c>
      <c r="X96" s="1043"/>
    </row>
    <row r="97" spans="1:24" s="1066" customFormat="1" ht="15" customHeight="1">
      <c r="A97" s="1078"/>
      <c r="B97" s="1075"/>
      <c r="C97" s="1074">
        <v>8</v>
      </c>
      <c r="D97" s="1073">
        <v>1</v>
      </c>
      <c r="E97" s="1072">
        <f>F93/0.15</f>
        <v>0</v>
      </c>
      <c r="F97" s="1080">
        <v>1.4</v>
      </c>
      <c r="G97" s="1070">
        <f t="shared" si="14"/>
        <v>0</v>
      </c>
      <c r="H97" s="1069" t="str">
        <f t="shared" si="14"/>
        <v>-</v>
      </c>
      <c r="I97" s="1069" t="str">
        <f t="shared" si="14"/>
        <v>-</v>
      </c>
      <c r="J97" s="1069" t="str">
        <f t="shared" si="14"/>
        <v>-</v>
      </c>
      <c r="K97" s="1069" t="str">
        <f t="shared" si="14"/>
        <v>-</v>
      </c>
      <c r="L97" s="1069" t="str">
        <f t="shared" si="14"/>
        <v>-</v>
      </c>
      <c r="M97" s="1069" t="str">
        <f t="shared" si="14"/>
        <v>-</v>
      </c>
      <c r="N97" s="1069" t="str">
        <f t="shared" si="14"/>
        <v>-</v>
      </c>
      <c r="O97" s="1069" t="str">
        <f t="shared" si="14"/>
        <v>-</v>
      </c>
      <c r="P97" s="1069" t="str">
        <f t="shared" si="14"/>
        <v>-</v>
      </c>
      <c r="Q97" s="1069" t="str">
        <f t="shared" si="14"/>
        <v>-</v>
      </c>
      <c r="R97" s="1069" t="str">
        <f t="shared" si="14"/>
        <v>-</v>
      </c>
      <c r="S97" s="1069" t="str">
        <f t="shared" si="14"/>
        <v>-</v>
      </c>
      <c r="T97" s="1069" t="str">
        <f t="shared" si="14"/>
        <v>-</v>
      </c>
      <c r="U97" s="1068" t="str">
        <f t="shared" si="14"/>
        <v>-</v>
      </c>
      <c r="V97" s="1067">
        <f t="shared" si="13"/>
        <v>0</v>
      </c>
      <c r="X97" s="1043"/>
    </row>
    <row r="98" spans="1:24" s="1066" customFormat="1" ht="15" customHeight="1">
      <c r="A98" s="1078"/>
      <c r="B98" s="1079" t="s">
        <v>681</v>
      </c>
      <c r="C98" s="1074"/>
      <c r="D98" s="1073"/>
      <c r="E98" s="1072"/>
      <c r="F98" s="1071"/>
      <c r="G98" s="1070" t="str">
        <f t="shared" si="14"/>
        <v>-</v>
      </c>
      <c r="H98" s="1069" t="str">
        <f t="shared" si="14"/>
        <v>-</v>
      </c>
      <c r="I98" s="1069" t="str">
        <f t="shared" si="14"/>
        <v>-</v>
      </c>
      <c r="J98" s="1069" t="str">
        <f t="shared" si="14"/>
        <v>-</v>
      </c>
      <c r="K98" s="1069" t="str">
        <f t="shared" si="14"/>
        <v>-</v>
      </c>
      <c r="L98" s="1069" t="str">
        <f t="shared" si="14"/>
        <v>-</v>
      </c>
      <c r="M98" s="1069" t="str">
        <f t="shared" si="14"/>
        <v>-</v>
      </c>
      <c r="N98" s="1069" t="str">
        <f t="shared" si="14"/>
        <v>-</v>
      </c>
      <c r="O98" s="1069" t="str">
        <f t="shared" si="14"/>
        <v>-</v>
      </c>
      <c r="P98" s="1069" t="str">
        <f t="shared" si="14"/>
        <v>-</v>
      </c>
      <c r="Q98" s="1069" t="str">
        <f t="shared" si="14"/>
        <v>-</v>
      </c>
      <c r="R98" s="1069" t="str">
        <f t="shared" si="14"/>
        <v>-</v>
      </c>
      <c r="S98" s="1069" t="str">
        <f t="shared" si="14"/>
        <v>-</v>
      </c>
      <c r="T98" s="1069" t="str">
        <f t="shared" si="14"/>
        <v>-</v>
      </c>
      <c r="U98" s="1068" t="str">
        <f t="shared" si="14"/>
        <v>-</v>
      </c>
      <c r="V98" s="1067">
        <f t="shared" si="13"/>
        <v>0</v>
      </c>
      <c r="X98" s="1043"/>
    </row>
    <row r="99" spans="1:24" s="1066" customFormat="1" ht="15" customHeight="1">
      <c r="A99" s="1078"/>
      <c r="B99" s="1075" t="s">
        <v>666</v>
      </c>
      <c r="C99" s="1074">
        <v>10</v>
      </c>
      <c r="D99" s="1073">
        <v>38.18</v>
      </c>
      <c r="E99" s="1072">
        <v>20</v>
      </c>
      <c r="F99" s="1071">
        <v>1.18</v>
      </c>
      <c r="G99" s="1070" t="str">
        <f t="shared" si="14"/>
        <v>-</v>
      </c>
      <c r="H99" s="1069">
        <f t="shared" si="14"/>
        <v>901.048</v>
      </c>
      <c r="I99" s="1069" t="str">
        <f t="shared" si="14"/>
        <v>-</v>
      </c>
      <c r="J99" s="1069" t="str">
        <f t="shared" si="14"/>
        <v>-</v>
      </c>
      <c r="K99" s="1069" t="str">
        <f t="shared" si="14"/>
        <v>-</v>
      </c>
      <c r="L99" s="1069" t="str">
        <f t="shared" si="14"/>
        <v>-</v>
      </c>
      <c r="M99" s="1069" t="str">
        <f t="shared" si="14"/>
        <v>-</v>
      </c>
      <c r="N99" s="1069" t="str">
        <f t="shared" si="14"/>
        <v>-</v>
      </c>
      <c r="O99" s="1069" t="str">
        <f t="shared" si="14"/>
        <v>-</v>
      </c>
      <c r="P99" s="1069" t="str">
        <f t="shared" si="14"/>
        <v>-</v>
      </c>
      <c r="Q99" s="1069" t="str">
        <f t="shared" si="14"/>
        <v>-</v>
      </c>
      <c r="R99" s="1069" t="str">
        <f t="shared" si="14"/>
        <v>-</v>
      </c>
      <c r="S99" s="1069" t="str">
        <f t="shared" si="14"/>
        <v>-</v>
      </c>
      <c r="T99" s="1069" t="str">
        <f t="shared" si="14"/>
        <v>-</v>
      </c>
      <c r="U99" s="1068" t="str">
        <f t="shared" si="14"/>
        <v>-</v>
      </c>
      <c r="V99" s="1067">
        <f t="shared" si="13"/>
        <v>555.94661599999995</v>
      </c>
      <c r="X99" s="1043"/>
    </row>
    <row r="100" spans="1:24" s="1066" customFormat="1" ht="15" customHeight="1">
      <c r="A100" s="1076"/>
      <c r="B100" s="1075" t="s">
        <v>665</v>
      </c>
      <c r="C100" s="1074">
        <v>10</v>
      </c>
      <c r="D100" s="1073">
        <v>22.95</v>
      </c>
      <c r="E100" s="1072">
        <v>22</v>
      </c>
      <c r="F100" s="1071">
        <v>1.18</v>
      </c>
      <c r="G100" s="1070" t="str">
        <f t="shared" si="14"/>
        <v>-</v>
      </c>
      <c r="H100" s="1069">
        <f t="shared" si="14"/>
        <v>595.78199999999993</v>
      </c>
      <c r="I100" s="1069" t="str">
        <f t="shared" si="14"/>
        <v>-</v>
      </c>
      <c r="J100" s="1069" t="str">
        <f t="shared" si="14"/>
        <v>-</v>
      </c>
      <c r="K100" s="1069" t="str">
        <f t="shared" si="14"/>
        <v>-</v>
      </c>
      <c r="L100" s="1069" t="str">
        <f t="shared" si="14"/>
        <v>-</v>
      </c>
      <c r="M100" s="1069" t="str">
        <f t="shared" si="14"/>
        <v>-</v>
      </c>
      <c r="N100" s="1069" t="str">
        <f t="shared" si="14"/>
        <v>-</v>
      </c>
      <c r="O100" s="1069" t="str">
        <f t="shared" si="14"/>
        <v>-</v>
      </c>
      <c r="P100" s="1069" t="str">
        <f t="shared" si="14"/>
        <v>-</v>
      </c>
      <c r="Q100" s="1069" t="str">
        <f t="shared" si="14"/>
        <v>-</v>
      </c>
      <c r="R100" s="1069" t="str">
        <f t="shared" si="14"/>
        <v>-</v>
      </c>
      <c r="S100" s="1069" t="str">
        <f t="shared" si="14"/>
        <v>-</v>
      </c>
      <c r="T100" s="1069" t="str">
        <f t="shared" si="14"/>
        <v>-</v>
      </c>
      <c r="U100" s="1068" t="str">
        <f t="shared" si="14"/>
        <v>-</v>
      </c>
      <c r="V100" s="1067">
        <f t="shared" si="13"/>
        <v>367.59749399999993</v>
      </c>
      <c r="X100" s="1043"/>
    </row>
    <row r="101" spans="1:24" s="1066" customFormat="1" ht="15.75" customHeight="1">
      <c r="A101" s="1076"/>
      <c r="B101" s="1075" t="s">
        <v>664</v>
      </c>
      <c r="C101" s="1074">
        <v>10</v>
      </c>
      <c r="D101" s="1073">
        <v>87.2</v>
      </c>
      <c r="E101" s="1072">
        <v>26</v>
      </c>
      <c r="F101" s="1071">
        <v>1.18</v>
      </c>
      <c r="G101" s="1070" t="str">
        <f t="shared" si="14"/>
        <v>-</v>
      </c>
      <c r="H101" s="1069">
        <f t="shared" si="14"/>
        <v>2675.2960000000003</v>
      </c>
      <c r="I101" s="1069" t="str">
        <f t="shared" si="14"/>
        <v>-</v>
      </c>
      <c r="J101" s="1069" t="str">
        <f t="shared" si="14"/>
        <v>-</v>
      </c>
      <c r="K101" s="1069" t="str">
        <f t="shared" si="14"/>
        <v>-</v>
      </c>
      <c r="L101" s="1069" t="str">
        <f t="shared" si="14"/>
        <v>-</v>
      </c>
      <c r="M101" s="1069" t="str">
        <f t="shared" si="14"/>
        <v>-</v>
      </c>
      <c r="N101" s="1069" t="str">
        <f t="shared" si="14"/>
        <v>-</v>
      </c>
      <c r="O101" s="1069" t="str">
        <f t="shared" si="14"/>
        <v>-</v>
      </c>
      <c r="P101" s="1069" t="str">
        <f t="shared" si="14"/>
        <v>-</v>
      </c>
      <c r="Q101" s="1069" t="str">
        <f t="shared" si="14"/>
        <v>-</v>
      </c>
      <c r="R101" s="1069" t="str">
        <f t="shared" si="14"/>
        <v>-</v>
      </c>
      <c r="S101" s="1069" t="str">
        <f t="shared" si="14"/>
        <v>-</v>
      </c>
      <c r="T101" s="1069" t="str">
        <f t="shared" si="14"/>
        <v>-</v>
      </c>
      <c r="U101" s="1068" t="str">
        <f t="shared" si="14"/>
        <v>-</v>
      </c>
      <c r="V101" s="1067">
        <f t="shared" si="13"/>
        <v>1650.6576320000001</v>
      </c>
      <c r="X101" s="1043"/>
    </row>
    <row r="102" spans="1:24" s="1066" customFormat="1" ht="15" customHeight="1">
      <c r="A102" s="1076"/>
      <c r="B102" s="1075"/>
      <c r="C102" s="983"/>
      <c r="D102" s="1073"/>
      <c r="E102" s="1072"/>
      <c r="F102" s="1071"/>
      <c r="G102" s="1070" t="str">
        <f t="shared" si="14"/>
        <v>-</v>
      </c>
      <c r="H102" s="1069" t="str">
        <f t="shared" si="14"/>
        <v>-</v>
      </c>
      <c r="I102" s="1069" t="str">
        <f t="shared" si="14"/>
        <v>-</v>
      </c>
      <c r="J102" s="1069" t="str">
        <f t="shared" si="14"/>
        <v>-</v>
      </c>
      <c r="K102" s="1069" t="str">
        <f t="shared" si="14"/>
        <v>-</v>
      </c>
      <c r="L102" s="1069" t="str">
        <f t="shared" si="14"/>
        <v>-</v>
      </c>
      <c r="M102" s="1069" t="str">
        <f t="shared" si="14"/>
        <v>-</v>
      </c>
      <c r="N102" s="1069" t="str">
        <f t="shared" si="14"/>
        <v>-</v>
      </c>
      <c r="O102" s="1069" t="str">
        <f t="shared" si="14"/>
        <v>-</v>
      </c>
      <c r="P102" s="1069" t="str">
        <f t="shared" si="14"/>
        <v>-</v>
      </c>
      <c r="Q102" s="1069" t="str">
        <f t="shared" si="14"/>
        <v>-</v>
      </c>
      <c r="R102" s="1069" t="str">
        <f t="shared" si="14"/>
        <v>-</v>
      </c>
      <c r="S102" s="1069" t="str">
        <f t="shared" si="14"/>
        <v>-</v>
      </c>
      <c r="T102" s="1069" t="str">
        <f t="shared" si="14"/>
        <v>-</v>
      </c>
      <c r="U102" s="1068" t="str">
        <f t="shared" si="14"/>
        <v>-</v>
      </c>
      <c r="V102" s="1067">
        <f t="shared" si="13"/>
        <v>0</v>
      </c>
      <c r="X102" s="1043"/>
    </row>
    <row r="103" spans="1:24" s="1066" customFormat="1" ht="15" customHeight="1">
      <c r="A103" s="1076"/>
      <c r="B103" s="1077"/>
      <c r="C103" s="1074"/>
      <c r="D103" s="1073"/>
      <c r="E103" s="1072"/>
      <c r="F103" s="1071"/>
      <c r="G103" s="1070"/>
      <c r="H103" s="1069"/>
      <c r="I103" s="1069"/>
      <c r="J103" s="1069"/>
      <c r="K103" s="1069"/>
      <c r="L103" s="1069"/>
      <c r="M103" s="1069"/>
      <c r="N103" s="1069"/>
      <c r="O103" s="1069"/>
      <c r="P103" s="1069"/>
      <c r="Q103" s="1069"/>
      <c r="R103" s="1069"/>
      <c r="S103" s="1069"/>
      <c r="T103" s="1069"/>
      <c r="U103" s="1068"/>
      <c r="V103" s="1067"/>
      <c r="X103" s="1043"/>
    </row>
    <row r="104" spans="1:24" s="1066" customFormat="1" ht="15" customHeight="1">
      <c r="A104" s="1076"/>
      <c r="B104" s="1075"/>
      <c r="C104" s="1074"/>
      <c r="D104" s="1073"/>
      <c r="E104" s="1072"/>
      <c r="F104" s="1071"/>
      <c r="G104" s="1070"/>
      <c r="H104" s="1069"/>
      <c r="I104" s="1069"/>
      <c r="J104" s="1069"/>
      <c r="K104" s="1069"/>
      <c r="L104" s="1069"/>
      <c r="M104" s="1069"/>
      <c r="N104" s="1069"/>
      <c r="O104" s="1069"/>
      <c r="P104" s="1069"/>
      <c r="Q104" s="1069"/>
      <c r="R104" s="1069"/>
      <c r="S104" s="1069"/>
      <c r="T104" s="1069"/>
      <c r="U104" s="1068"/>
      <c r="V104" s="1067"/>
      <c r="X104" s="1043"/>
    </row>
    <row r="105" spans="1:24" s="1066" customFormat="1" ht="15" customHeight="1" thickBot="1">
      <c r="A105" s="1076"/>
      <c r="B105" s="1075"/>
      <c r="C105" s="1074"/>
      <c r="D105" s="1073"/>
      <c r="E105" s="1072"/>
      <c r="F105" s="1071"/>
      <c r="G105" s="1070"/>
      <c r="H105" s="1069"/>
      <c r="I105" s="1069"/>
      <c r="J105" s="1069"/>
      <c r="K105" s="1069"/>
      <c r="L105" s="1069"/>
      <c r="M105" s="1069"/>
      <c r="N105" s="1069"/>
      <c r="O105" s="1069"/>
      <c r="P105" s="1069"/>
      <c r="Q105" s="1069"/>
      <c r="R105" s="1069"/>
      <c r="S105" s="1069"/>
      <c r="T105" s="1069"/>
      <c r="U105" s="1068"/>
      <c r="V105" s="1067"/>
      <c r="X105" s="1043"/>
    </row>
    <row r="106" spans="1:24" ht="15" customHeight="1">
      <c r="A106" s="1065"/>
      <c r="B106" s="1064"/>
      <c r="C106" s="1063"/>
      <c r="D106" s="1063"/>
      <c r="E106" s="1063"/>
      <c r="F106" s="1062" t="s">
        <v>680</v>
      </c>
      <c r="G106" s="1061">
        <f t="shared" ref="G106:U106" si="15">SUM(G48:G105)</f>
        <v>2976.5399999999995</v>
      </c>
      <c r="H106" s="1061">
        <f t="shared" si="15"/>
        <v>4307.5860000000002</v>
      </c>
      <c r="I106" s="1061">
        <f t="shared" si="15"/>
        <v>0</v>
      </c>
      <c r="J106" s="1061">
        <f t="shared" si="15"/>
        <v>319.29999999999995</v>
      </c>
      <c r="K106" s="1061">
        <f t="shared" si="15"/>
        <v>2441.69</v>
      </c>
      <c r="L106" s="1061">
        <f t="shared" si="15"/>
        <v>0</v>
      </c>
      <c r="M106" s="1061">
        <f t="shared" si="15"/>
        <v>0</v>
      </c>
      <c r="N106" s="1061">
        <f t="shared" si="15"/>
        <v>0</v>
      </c>
      <c r="O106" s="1061">
        <f t="shared" si="15"/>
        <v>0</v>
      </c>
      <c r="P106" s="1061">
        <f t="shared" si="15"/>
        <v>0</v>
      </c>
      <c r="Q106" s="1061">
        <f t="shared" si="15"/>
        <v>0</v>
      </c>
      <c r="R106" s="1061">
        <f t="shared" si="15"/>
        <v>0</v>
      </c>
      <c r="S106" s="1061">
        <f t="shared" si="15"/>
        <v>0</v>
      </c>
      <c r="T106" s="1061">
        <f t="shared" si="15"/>
        <v>0</v>
      </c>
      <c r="U106" s="1061">
        <f t="shared" si="15"/>
        <v>0</v>
      </c>
      <c r="V106" s="1061">
        <f>SUM(V48:V105)</f>
        <v>8072.2150819999988</v>
      </c>
      <c r="W106" s="1038"/>
      <c r="X106" s="1043"/>
    </row>
    <row r="107" spans="1:24" ht="15" customHeight="1">
      <c r="A107" s="1058"/>
      <c r="B107" s="1039"/>
      <c r="C107" s="1041"/>
      <c r="D107" s="1041"/>
      <c r="E107" s="1041"/>
      <c r="F107" s="1057" t="s">
        <v>679</v>
      </c>
      <c r="G107" s="1060">
        <f t="shared" ref="G107:U107" si="16">+G$2</f>
        <v>0.39500000000000002</v>
      </c>
      <c r="H107" s="1060">
        <f t="shared" si="16"/>
        <v>0.61699999999999999</v>
      </c>
      <c r="I107" s="1060">
        <f t="shared" si="16"/>
        <v>0.88800000000000001</v>
      </c>
      <c r="J107" s="1060">
        <f t="shared" si="16"/>
        <v>1.208</v>
      </c>
      <c r="K107" s="1060">
        <f t="shared" si="16"/>
        <v>1.5780000000000001</v>
      </c>
      <c r="L107" s="1060">
        <f t="shared" si="16"/>
        <v>1.998</v>
      </c>
      <c r="M107" s="1060">
        <f t="shared" si="16"/>
        <v>2.4660000000000002</v>
      </c>
      <c r="N107" s="1060">
        <f t="shared" si="16"/>
        <v>2.7189999999999999</v>
      </c>
      <c r="O107" s="1060">
        <f t="shared" si="16"/>
        <v>2.984</v>
      </c>
      <c r="P107" s="1060">
        <f t="shared" si="16"/>
        <v>3.5510000000000002</v>
      </c>
      <c r="Q107" s="1060">
        <f t="shared" si="16"/>
        <v>3.8530000000000002</v>
      </c>
      <c r="R107" s="1060">
        <f t="shared" si="16"/>
        <v>4.1680000000000001</v>
      </c>
      <c r="S107" s="1060">
        <f t="shared" si="16"/>
        <v>4.8339999999999996</v>
      </c>
      <c r="T107" s="1060">
        <f t="shared" si="16"/>
        <v>5.5490000000000004</v>
      </c>
      <c r="U107" s="1059">
        <f t="shared" si="16"/>
        <v>6.3129999999999997</v>
      </c>
      <c r="V107" s="1055"/>
      <c r="W107" s="1038"/>
      <c r="X107" s="1043"/>
    </row>
    <row r="108" spans="1:24" ht="15" customHeight="1" thickBot="1">
      <c r="A108" s="1058"/>
      <c r="B108" s="1039"/>
      <c r="C108" s="1041"/>
      <c r="D108" s="1041"/>
      <c r="E108" s="1041"/>
      <c r="F108" s="1057" t="s">
        <v>678</v>
      </c>
      <c r="G108" s="1056">
        <f t="shared" ref="G108:U108" si="17">+G107*G106</f>
        <v>1175.7332999999999</v>
      </c>
      <c r="H108" s="1056">
        <f t="shared" si="17"/>
        <v>2657.7805619999999</v>
      </c>
      <c r="I108" s="1056">
        <f t="shared" si="17"/>
        <v>0</v>
      </c>
      <c r="J108" s="1056">
        <f t="shared" si="17"/>
        <v>385.71439999999996</v>
      </c>
      <c r="K108" s="1056">
        <f t="shared" si="17"/>
        <v>3852.9868200000001</v>
      </c>
      <c r="L108" s="1056">
        <f t="shared" si="17"/>
        <v>0</v>
      </c>
      <c r="M108" s="1056">
        <f t="shared" si="17"/>
        <v>0</v>
      </c>
      <c r="N108" s="1056">
        <f t="shared" si="17"/>
        <v>0</v>
      </c>
      <c r="O108" s="1056">
        <f t="shared" si="17"/>
        <v>0</v>
      </c>
      <c r="P108" s="1056">
        <f t="shared" si="17"/>
        <v>0</v>
      </c>
      <c r="Q108" s="1056">
        <f t="shared" si="17"/>
        <v>0</v>
      </c>
      <c r="R108" s="1056">
        <f t="shared" si="17"/>
        <v>0</v>
      </c>
      <c r="S108" s="1056">
        <f t="shared" si="17"/>
        <v>0</v>
      </c>
      <c r="T108" s="1056">
        <f t="shared" si="17"/>
        <v>0</v>
      </c>
      <c r="U108" s="1056">
        <f t="shared" si="17"/>
        <v>0</v>
      </c>
      <c r="V108" s="1055"/>
      <c r="W108" s="1038"/>
      <c r="X108" s="1043"/>
    </row>
    <row r="109" spans="1:24" ht="15" customHeight="1" thickBot="1">
      <c r="A109" s="1054"/>
      <c r="B109" s="1053"/>
      <c r="C109" s="1052"/>
      <c r="D109" s="1052"/>
      <c r="E109" s="1052"/>
      <c r="F109" s="1051" t="s">
        <v>677</v>
      </c>
      <c r="G109" s="1288">
        <f>SUM(G108:U108)/1000</f>
        <v>8.0722150819999996</v>
      </c>
      <c r="H109" s="1289"/>
      <c r="I109" s="1289"/>
      <c r="J109" s="1289"/>
      <c r="K109" s="1289"/>
      <c r="L109" s="1289"/>
      <c r="M109" s="1289"/>
      <c r="N109" s="1289"/>
      <c r="O109" s="1289"/>
      <c r="P109" s="1289"/>
      <c r="Q109" s="1289"/>
      <c r="R109" s="1289"/>
      <c r="S109" s="1289"/>
      <c r="T109" s="1289"/>
      <c r="U109" s="1290"/>
      <c r="V109" s="1050"/>
      <c r="W109" s="1038"/>
      <c r="X109" s="1043"/>
    </row>
    <row r="110" spans="1:24" s="1038" customFormat="1" ht="15" customHeight="1">
      <c r="B110" s="1039"/>
      <c r="C110" s="1049"/>
      <c r="D110" s="1049"/>
      <c r="E110" s="1049"/>
      <c r="F110" s="1048"/>
      <c r="G110" s="1048"/>
      <c r="H110" s="1045"/>
      <c r="I110" s="1045"/>
      <c r="J110" s="1045"/>
      <c r="K110" s="1045"/>
      <c r="L110" s="1045"/>
      <c r="M110" s="1045"/>
      <c r="N110" s="1045"/>
      <c r="O110" s="1045"/>
      <c r="P110" s="1045"/>
      <c r="Q110" s="1045"/>
      <c r="R110" s="1045"/>
      <c r="S110" s="1045"/>
      <c r="T110" s="1045"/>
      <c r="U110" s="1045"/>
      <c r="V110" s="1039"/>
      <c r="X110" s="1043"/>
    </row>
    <row r="111" spans="1:24" s="1038" customFormat="1" ht="15" customHeight="1">
      <c r="B111" s="1039"/>
      <c r="C111" s="1049"/>
      <c r="D111" s="1049"/>
      <c r="E111" s="1049"/>
      <c r="F111" s="1048"/>
      <c r="G111" s="1048"/>
      <c r="H111" s="1045"/>
      <c r="I111" s="1045"/>
      <c r="J111" s="1045"/>
      <c r="K111" s="1045"/>
      <c r="L111" s="1045"/>
      <c r="M111" s="1045"/>
      <c r="N111" s="1045"/>
      <c r="O111" s="1045"/>
      <c r="P111" s="1045"/>
      <c r="Q111" s="1045"/>
      <c r="R111" s="1045"/>
      <c r="S111" s="1045"/>
      <c r="T111" s="1045"/>
      <c r="U111" s="1045"/>
      <c r="V111" s="1039"/>
      <c r="X111" s="1043"/>
    </row>
    <row r="112" spans="1:24" s="1038" customFormat="1" ht="15" customHeight="1">
      <c r="B112" s="1039"/>
      <c r="C112" s="1049"/>
      <c r="D112" s="1049"/>
      <c r="E112" s="1049"/>
      <c r="F112" s="1048"/>
      <c r="G112" s="1048"/>
      <c r="H112" s="1045"/>
      <c r="I112" s="1045"/>
      <c r="J112" s="1045"/>
      <c r="K112" s="1045"/>
      <c r="L112" s="1045"/>
      <c r="M112" s="1045"/>
      <c r="N112" s="1045"/>
      <c r="O112" s="1045"/>
      <c r="P112" s="1045"/>
      <c r="Q112" s="1045"/>
      <c r="R112" s="1045"/>
      <c r="S112" s="1045"/>
      <c r="T112" s="1045"/>
      <c r="U112" s="1045"/>
      <c r="V112" s="1039"/>
      <c r="X112" s="1043"/>
    </row>
    <row r="113" spans="2:24" s="1038" customFormat="1" ht="15" customHeight="1">
      <c r="B113" s="1039"/>
      <c r="C113" s="1049"/>
      <c r="D113" s="1049"/>
      <c r="E113" s="1049"/>
      <c r="F113" s="1048"/>
      <c r="G113" s="1048"/>
      <c r="H113" s="1045"/>
      <c r="I113" s="1045"/>
      <c r="J113" s="1045"/>
      <c r="K113" s="1045"/>
      <c r="L113" s="1045"/>
      <c r="M113" s="1045"/>
      <c r="N113" s="1045"/>
      <c r="O113" s="1045"/>
      <c r="P113" s="1045"/>
      <c r="Q113" s="1045"/>
      <c r="R113" s="1045"/>
      <c r="S113" s="1045"/>
      <c r="T113" s="1045"/>
      <c r="U113" s="1045"/>
      <c r="V113" s="1039"/>
      <c r="X113" s="1043"/>
    </row>
    <row r="114" spans="2:24" s="1038" customFormat="1" ht="15" customHeight="1">
      <c r="B114" s="1039"/>
      <c r="C114" s="1049"/>
      <c r="D114" s="1049"/>
      <c r="E114" s="1049"/>
      <c r="F114" s="1048"/>
      <c r="G114" s="1048"/>
      <c r="H114" s="1045"/>
      <c r="I114" s="1045"/>
      <c r="J114" s="1045"/>
      <c r="K114" s="1045"/>
      <c r="L114" s="1045"/>
      <c r="M114" s="1045"/>
      <c r="N114" s="1045"/>
      <c r="O114" s="1045"/>
      <c r="P114" s="1045"/>
      <c r="Q114" s="1045"/>
      <c r="R114" s="1045"/>
      <c r="S114" s="1045"/>
      <c r="T114" s="1045"/>
      <c r="U114" s="1045"/>
      <c r="V114" s="1039"/>
      <c r="X114" s="1043"/>
    </row>
    <row r="115" spans="2:24" s="1038" customFormat="1" ht="15" customHeight="1">
      <c r="B115" s="1039"/>
      <c r="C115" s="1049"/>
      <c r="D115" s="1049"/>
      <c r="E115" s="1049"/>
      <c r="F115" s="1048"/>
      <c r="G115" s="1048"/>
      <c r="H115" s="1045"/>
      <c r="I115" s="1045"/>
      <c r="J115" s="1045"/>
      <c r="K115" s="1045"/>
      <c r="L115" s="1045"/>
      <c r="M115" s="1045"/>
      <c r="N115" s="1045"/>
      <c r="O115" s="1045"/>
      <c r="P115" s="1045"/>
      <c r="Q115" s="1045"/>
      <c r="R115" s="1045"/>
      <c r="S115" s="1045"/>
      <c r="T115" s="1045"/>
      <c r="U115" s="1045"/>
      <c r="V115" s="1039"/>
      <c r="X115" s="1043"/>
    </row>
    <row r="116" spans="2:24" s="1038" customFormat="1" ht="15" customHeight="1">
      <c r="B116" s="1039"/>
      <c r="C116" s="1049"/>
      <c r="D116" s="1049"/>
      <c r="E116" s="1049"/>
      <c r="F116" s="1048"/>
      <c r="G116" s="1048"/>
      <c r="H116" s="1045"/>
      <c r="I116" s="1045"/>
      <c r="J116" s="1045"/>
      <c r="K116" s="1045"/>
      <c r="L116" s="1045"/>
      <c r="M116" s="1045"/>
      <c r="N116" s="1045"/>
      <c r="O116" s="1045"/>
      <c r="P116" s="1045"/>
      <c r="Q116" s="1045"/>
      <c r="R116" s="1045"/>
      <c r="S116" s="1045"/>
      <c r="T116" s="1045"/>
      <c r="U116" s="1045"/>
      <c r="V116" s="1039"/>
      <c r="X116" s="1043"/>
    </row>
    <row r="117" spans="2:24" s="1038" customFormat="1" ht="15" customHeight="1">
      <c r="B117" s="1039"/>
      <c r="C117" s="1049"/>
      <c r="D117" s="1049"/>
      <c r="E117" s="1049"/>
      <c r="F117" s="1048"/>
      <c r="G117" s="1048"/>
      <c r="H117" s="1045"/>
      <c r="I117" s="1045"/>
      <c r="J117" s="1045"/>
      <c r="K117" s="1045"/>
      <c r="L117" s="1045"/>
      <c r="M117" s="1045"/>
      <c r="N117" s="1045"/>
      <c r="O117" s="1045"/>
      <c r="P117" s="1045"/>
      <c r="Q117" s="1045"/>
      <c r="R117" s="1045"/>
      <c r="S117" s="1045"/>
      <c r="T117" s="1045"/>
      <c r="U117" s="1045"/>
      <c r="V117" s="1039"/>
      <c r="X117" s="1043"/>
    </row>
    <row r="118" spans="2:24" s="1038" customFormat="1" ht="15" customHeight="1">
      <c r="B118" s="1039"/>
      <c r="C118" s="1049"/>
      <c r="D118" s="1049"/>
      <c r="E118" s="1049"/>
      <c r="F118" s="1048"/>
      <c r="G118" s="1048"/>
      <c r="H118" s="1045"/>
      <c r="I118" s="1045"/>
      <c r="J118" s="1045"/>
      <c r="K118" s="1045"/>
      <c r="L118" s="1045"/>
      <c r="M118" s="1045"/>
      <c r="N118" s="1045"/>
      <c r="O118" s="1045"/>
      <c r="P118" s="1045"/>
      <c r="Q118" s="1045"/>
      <c r="R118" s="1045"/>
      <c r="S118" s="1045"/>
      <c r="T118" s="1045"/>
      <c r="U118" s="1045"/>
      <c r="V118" s="1039"/>
      <c r="X118" s="1043"/>
    </row>
    <row r="119" spans="2:24" s="1038" customFormat="1" ht="15" customHeight="1">
      <c r="B119" s="1039"/>
      <c r="C119" s="1049"/>
      <c r="D119" s="1049"/>
      <c r="E119" s="1049"/>
      <c r="F119" s="1048"/>
      <c r="G119" s="1048"/>
      <c r="H119" s="1045"/>
      <c r="I119" s="1045"/>
      <c r="J119" s="1045"/>
      <c r="K119" s="1045"/>
      <c r="L119" s="1045"/>
      <c r="M119" s="1045"/>
      <c r="N119" s="1045"/>
      <c r="O119" s="1045"/>
      <c r="P119" s="1045"/>
      <c r="Q119" s="1045"/>
      <c r="R119" s="1045"/>
      <c r="S119" s="1045"/>
      <c r="T119" s="1045"/>
      <c r="U119" s="1045"/>
      <c r="V119" s="1039"/>
      <c r="X119" s="1043"/>
    </row>
    <row r="120" spans="2:24" s="1038" customFormat="1" ht="15" customHeight="1">
      <c r="B120" s="1039"/>
      <c r="C120" s="1049"/>
      <c r="D120" s="1049"/>
      <c r="E120" s="1049"/>
      <c r="F120" s="1048"/>
      <c r="G120" s="1048"/>
      <c r="H120" s="1045"/>
      <c r="I120" s="1045"/>
      <c r="J120" s="1045"/>
      <c r="K120" s="1045"/>
      <c r="L120" s="1045"/>
      <c r="M120" s="1045"/>
      <c r="N120" s="1045"/>
      <c r="O120" s="1045"/>
      <c r="P120" s="1045"/>
      <c r="Q120" s="1045"/>
      <c r="R120" s="1045"/>
      <c r="S120" s="1045"/>
      <c r="T120" s="1045"/>
      <c r="U120" s="1045"/>
      <c r="V120" s="1039"/>
      <c r="X120" s="1043"/>
    </row>
    <row r="121" spans="2:24" s="1038" customFormat="1" ht="15" customHeight="1">
      <c r="B121" s="1039"/>
      <c r="C121" s="1049"/>
      <c r="D121" s="1049"/>
      <c r="E121" s="1049"/>
      <c r="F121" s="1048"/>
      <c r="G121" s="1048"/>
      <c r="H121" s="1045"/>
      <c r="I121" s="1045"/>
      <c r="J121" s="1045"/>
      <c r="K121" s="1045"/>
      <c r="L121" s="1045"/>
      <c r="M121" s="1045"/>
      <c r="N121" s="1045"/>
      <c r="O121" s="1045"/>
      <c r="P121" s="1045"/>
      <c r="Q121" s="1045"/>
      <c r="R121" s="1045"/>
      <c r="S121" s="1045"/>
      <c r="T121" s="1045"/>
      <c r="U121" s="1045"/>
      <c r="V121" s="1039"/>
      <c r="X121" s="1043"/>
    </row>
    <row r="122" spans="2:24" s="1038" customFormat="1" ht="15" customHeight="1">
      <c r="B122" s="1039"/>
      <c r="C122" s="1049"/>
      <c r="D122" s="1049"/>
      <c r="E122" s="1049"/>
      <c r="F122" s="1048"/>
      <c r="G122" s="1048"/>
      <c r="H122" s="1045"/>
      <c r="I122" s="1045"/>
      <c r="J122" s="1045"/>
      <c r="K122" s="1045"/>
      <c r="L122" s="1045"/>
      <c r="M122" s="1045"/>
      <c r="N122" s="1045"/>
      <c r="O122" s="1045"/>
      <c r="P122" s="1045"/>
      <c r="Q122" s="1045"/>
      <c r="R122" s="1045"/>
      <c r="S122" s="1045"/>
      <c r="T122" s="1045"/>
      <c r="U122" s="1045"/>
      <c r="V122" s="1039"/>
      <c r="X122" s="1043"/>
    </row>
    <row r="123" spans="2:24" s="1038" customFormat="1" ht="15" customHeight="1">
      <c r="B123" s="1046"/>
      <c r="C123" s="1046"/>
      <c r="D123" s="1046"/>
      <c r="E123" s="1046"/>
      <c r="F123" s="1047"/>
      <c r="G123" s="1046"/>
      <c r="H123" s="1045"/>
      <c r="I123" s="1045"/>
      <c r="J123" s="1045"/>
      <c r="K123" s="1045"/>
      <c r="L123" s="1045"/>
      <c r="M123" s="1045"/>
      <c r="N123" s="1045"/>
      <c r="O123" s="1045"/>
      <c r="P123" s="1045"/>
      <c r="Q123" s="1045"/>
      <c r="R123" s="1045"/>
      <c r="S123" s="1045"/>
      <c r="T123" s="1045"/>
      <c r="U123" s="1045"/>
      <c r="V123" s="1039"/>
      <c r="X123" s="1043"/>
    </row>
    <row r="124" spans="2:24" s="1038" customFormat="1" ht="15" customHeight="1">
      <c r="B124" s="1039"/>
      <c r="C124" s="1041"/>
      <c r="D124" s="1041"/>
      <c r="E124" s="1041"/>
      <c r="F124" s="1042"/>
      <c r="G124" s="1041"/>
      <c r="H124" s="1045"/>
      <c r="I124" s="1045"/>
      <c r="J124" s="1045"/>
      <c r="K124" s="1045"/>
      <c r="L124" s="1045"/>
      <c r="M124" s="1045"/>
      <c r="N124" s="1045"/>
      <c r="O124" s="1045"/>
      <c r="P124" s="1045"/>
      <c r="Q124" s="1045"/>
      <c r="R124" s="1045"/>
      <c r="S124" s="1045"/>
      <c r="T124" s="1045"/>
      <c r="U124" s="1045"/>
      <c r="V124" s="1039"/>
      <c r="W124" s="1035"/>
      <c r="X124" s="1043"/>
    </row>
    <row r="125" spans="2:24" s="1038" customFormat="1" ht="15" customHeight="1">
      <c r="B125" s="1039"/>
      <c r="C125" s="1041"/>
      <c r="D125" s="1041"/>
      <c r="E125" s="1041"/>
      <c r="F125" s="1042"/>
      <c r="G125" s="1041"/>
      <c r="H125" s="1044"/>
      <c r="I125" s="1044"/>
      <c r="J125" s="1044"/>
      <c r="K125" s="1044"/>
      <c r="L125" s="1044"/>
      <c r="M125" s="1044"/>
      <c r="N125" s="1044"/>
      <c r="O125" s="1044"/>
      <c r="P125" s="1044"/>
      <c r="Q125" s="1044"/>
      <c r="R125" s="1044"/>
      <c r="S125" s="1044"/>
      <c r="T125" s="1044"/>
      <c r="U125" s="1044"/>
      <c r="V125" s="1039"/>
      <c r="W125" s="1035"/>
      <c r="X125" s="1043"/>
    </row>
    <row r="126" spans="2:24" s="1038" customFormat="1" ht="15" customHeight="1">
      <c r="B126" s="1039"/>
      <c r="C126" s="1041"/>
      <c r="D126" s="1041"/>
      <c r="E126" s="1041"/>
      <c r="F126" s="1042"/>
      <c r="G126" s="1041"/>
      <c r="H126" s="1039"/>
      <c r="I126" s="1039"/>
      <c r="J126" s="1039"/>
      <c r="K126" s="1039"/>
      <c r="L126" s="1039"/>
      <c r="M126" s="1039"/>
      <c r="N126" s="1039"/>
      <c r="O126" s="1039"/>
      <c r="P126" s="1039"/>
      <c r="Q126" s="1039"/>
      <c r="R126" s="1039"/>
      <c r="S126" s="1039"/>
      <c r="T126" s="1039"/>
      <c r="U126" s="1039"/>
      <c r="V126" s="1039"/>
      <c r="W126" s="1035"/>
    </row>
    <row r="127" spans="2:24" s="1038" customFormat="1" ht="15" customHeight="1">
      <c r="B127" s="1039"/>
      <c r="C127" s="1041"/>
      <c r="D127" s="1041"/>
      <c r="E127" s="1041"/>
      <c r="F127" s="1042"/>
      <c r="G127" s="1041"/>
      <c r="H127" s="1040"/>
      <c r="I127" s="1040"/>
      <c r="J127" s="1040"/>
      <c r="K127" s="1040"/>
      <c r="L127" s="1040"/>
      <c r="M127" s="1040"/>
      <c r="N127" s="1040"/>
      <c r="O127" s="1040"/>
      <c r="P127" s="1040"/>
      <c r="Q127" s="1040"/>
      <c r="R127" s="1040"/>
      <c r="S127" s="1040"/>
      <c r="T127" s="1040"/>
      <c r="U127" s="1040"/>
      <c r="V127" s="1039"/>
      <c r="W127" s="1035"/>
    </row>
  </sheetData>
  <mergeCells count="7">
    <mergeCell ref="V2:V3"/>
    <mergeCell ref="G109:U109"/>
    <mergeCell ref="A1:F1"/>
    <mergeCell ref="G1:U1"/>
    <mergeCell ref="A2:A3"/>
    <mergeCell ref="B2:B3"/>
    <mergeCell ref="C2:F2"/>
  </mergeCells>
  <printOptions horizontalCentered="1"/>
  <pageMargins left="0" right="0" top="0.78740157480314965" bottom="0" header="0" footer="0"/>
  <pageSetup paperSize="9" scale="41" orientation="landscape" horizontalDpi="300" verticalDpi="300" r:id="rId1"/>
  <headerFooter alignWithMargins="0">
    <oddHeader>&amp;R&amp;N / &amp;P</oddHead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R94"/>
  <sheetViews>
    <sheetView showGridLines="0" view="pageBreakPreview" topLeftCell="A55" zoomScaleSheetLayoutView="100" workbookViewId="0">
      <selection activeCell="C4" sqref="C4:L4"/>
    </sheetView>
  </sheetViews>
  <sheetFormatPr defaultColWidth="8" defaultRowHeight="15" customHeight="1"/>
  <cols>
    <col min="1" max="4" width="10.140625" style="1019" customWidth="1"/>
    <col min="5" max="5" width="10.140625" style="1020" customWidth="1"/>
    <col min="6" max="9" width="6.7109375" style="1019" customWidth="1"/>
    <col min="10" max="10" width="6.85546875" style="1019" customWidth="1"/>
    <col min="11" max="11" width="6.7109375" style="1019" bestFit="1" customWidth="1"/>
    <col min="12" max="12" width="8" style="1019" bestFit="1" customWidth="1"/>
    <col min="13" max="13" width="9.7109375" style="1140" bestFit="1" customWidth="1"/>
    <col min="14" max="16384" width="8" style="1019"/>
  </cols>
  <sheetData>
    <row r="1" spans="1:13" s="955" customFormat="1" ht="15" customHeight="1">
      <c r="A1" s="1194" t="s">
        <v>676</v>
      </c>
      <c r="B1" s="1195"/>
      <c r="C1" s="1195"/>
      <c r="D1" s="1195"/>
      <c r="E1" s="1195"/>
      <c r="F1" s="1195"/>
      <c r="G1" s="1195"/>
      <c r="H1" s="1195"/>
      <c r="I1" s="1195"/>
      <c r="J1" s="1196"/>
      <c r="K1" s="1197"/>
      <c r="L1" s="1198"/>
      <c r="M1" s="954"/>
    </row>
    <row r="2" spans="1:13" s="955" customFormat="1" ht="15" customHeight="1">
      <c r="A2" s="1317" t="e">
        <f>#REF!</f>
        <v>#REF!</v>
      </c>
      <c r="B2" s="1318"/>
      <c r="C2" s="1318"/>
      <c r="D2" s="1318"/>
      <c r="E2" s="1318"/>
      <c r="F2" s="1318"/>
      <c r="G2" s="1318"/>
      <c r="H2" s="1318"/>
      <c r="I2" s="1318"/>
      <c r="J2" s="1319"/>
      <c r="K2" s="1202"/>
      <c r="L2" s="1203"/>
      <c r="M2" s="1137"/>
    </row>
    <row r="3" spans="1:13" s="955" customFormat="1" ht="15" customHeight="1">
      <c r="A3" s="1320" t="e">
        <f>#REF!</f>
        <v>#REF!</v>
      </c>
      <c r="B3" s="1321"/>
      <c r="C3" s="1321"/>
      <c r="D3" s="1321"/>
      <c r="E3" s="1321"/>
      <c r="F3" s="1321"/>
      <c r="G3" s="1321"/>
      <c r="H3" s="1321"/>
      <c r="I3" s="1321"/>
      <c r="J3" s="1322"/>
      <c r="K3" s="1207" t="s">
        <v>629</v>
      </c>
      <c r="L3" s="1208"/>
      <c r="M3" s="1138" t="e">
        <f>#REF!</f>
        <v>#REF!</v>
      </c>
    </row>
    <row r="4" spans="1:13" s="955" customFormat="1" ht="15" customHeight="1">
      <c r="A4" s="1312" t="s">
        <v>675</v>
      </c>
      <c r="B4" s="1313"/>
      <c r="C4" s="1220" t="s">
        <v>674</v>
      </c>
      <c r="D4" s="1221"/>
      <c r="E4" s="1221"/>
      <c r="F4" s="1221"/>
      <c r="G4" s="1221"/>
      <c r="H4" s="1221"/>
      <c r="I4" s="1221"/>
      <c r="J4" s="1221"/>
      <c r="K4" s="1221"/>
      <c r="L4" s="1222"/>
      <c r="M4" s="958" t="s">
        <v>634</v>
      </c>
    </row>
    <row r="5" spans="1:13" s="955" customFormat="1" ht="15" customHeight="1">
      <c r="A5" s="1237"/>
      <c r="B5" s="1238"/>
      <c r="C5" s="1314" t="s">
        <v>372</v>
      </c>
      <c r="D5" s="1315"/>
      <c r="E5" s="1315"/>
      <c r="F5" s="1315"/>
      <c r="G5" s="1315"/>
      <c r="H5" s="1315"/>
      <c r="I5" s="1315"/>
      <c r="J5" s="1315"/>
      <c r="K5" s="1315"/>
      <c r="L5" s="1316"/>
      <c r="M5" s="1139" t="s">
        <v>99</v>
      </c>
    </row>
    <row r="6" spans="1:13" s="955" customFormat="1" ht="15" customHeight="1">
      <c r="A6" s="1242" t="s">
        <v>673</v>
      </c>
      <c r="B6" s="1243"/>
      <c r="C6" s="1243"/>
      <c r="D6" s="1243"/>
      <c r="E6" s="1244"/>
      <c r="F6" s="1248" t="s">
        <v>631</v>
      </c>
      <c r="G6" s="1249"/>
      <c r="H6" s="1249"/>
      <c r="I6" s="1249"/>
      <c r="J6" s="1250"/>
      <c r="K6" s="1251" t="s">
        <v>632</v>
      </c>
      <c r="L6" s="1252"/>
      <c r="M6" s="1253"/>
    </row>
    <row r="7" spans="1:13" s="955" customFormat="1" ht="15" customHeight="1">
      <c r="A7" s="1245"/>
      <c r="B7" s="1246"/>
      <c r="C7" s="1246"/>
      <c r="D7" s="1246"/>
      <c r="E7" s="1247"/>
      <c r="F7" s="960" t="s">
        <v>633</v>
      </c>
      <c r="G7" s="961" t="s">
        <v>672</v>
      </c>
      <c r="H7" s="961" t="s">
        <v>368</v>
      </c>
      <c r="I7" s="962" t="s">
        <v>635</v>
      </c>
      <c r="J7" s="963" t="s">
        <v>636</v>
      </c>
      <c r="K7" s="964" t="s">
        <v>637</v>
      </c>
      <c r="L7" s="962" t="s">
        <v>638</v>
      </c>
      <c r="M7" s="965" t="s">
        <v>298</v>
      </c>
    </row>
    <row r="8" spans="1:13" s="1022" customFormat="1" ht="17.100000000000001" customHeight="1">
      <c r="A8" s="1032" t="s">
        <v>647</v>
      </c>
      <c r="B8" s="1031"/>
      <c r="C8" s="1031"/>
      <c r="D8" s="1030"/>
      <c r="E8" s="1029"/>
      <c r="F8" s="1028"/>
      <c r="G8" s="1027"/>
      <c r="H8" s="1026"/>
      <c r="I8" s="1026"/>
      <c r="J8" s="1025"/>
      <c r="K8" s="1024"/>
      <c r="L8" s="1023"/>
      <c r="M8" s="1034"/>
    </row>
    <row r="9" spans="1:13" s="977" customFormat="1" ht="17.100000000000001" customHeight="1">
      <c r="A9" s="978" t="s">
        <v>353</v>
      </c>
      <c r="B9" s="978"/>
      <c r="C9" s="978"/>
      <c r="D9" s="979"/>
      <c r="E9" s="980"/>
      <c r="F9" s="981"/>
      <c r="G9" s="982"/>
      <c r="H9" s="983"/>
      <c r="I9" s="983"/>
      <c r="J9" s="984"/>
      <c r="K9" s="985"/>
      <c r="L9" s="986"/>
      <c r="M9" s="987"/>
    </row>
    <row r="10" spans="1:13" s="977" customFormat="1" ht="17.100000000000001" customHeight="1">
      <c r="A10" s="978" t="s">
        <v>354</v>
      </c>
      <c r="B10" s="978"/>
      <c r="C10" s="978"/>
      <c r="D10" s="979"/>
      <c r="E10" s="980"/>
      <c r="F10" s="981"/>
      <c r="G10" s="982"/>
      <c r="H10" s="983"/>
      <c r="I10" s="983"/>
      <c r="J10" s="984"/>
      <c r="K10" s="985"/>
      <c r="L10" s="986"/>
      <c r="M10" s="987"/>
    </row>
    <row r="11" spans="1:13" s="977" customFormat="1" ht="17.100000000000001" customHeight="1">
      <c r="A11" s="978" t="s">
        <v>355</v>
      </c>
      <c r="B11" s="978"/>
      <c r="C11" s="978"/>
      <c r="D11" s="979"/>
      <c r="E11" s="980"/>
      <c r="F11" s="981"/>
      <c r="G11" s="982"/>
      <c r="H11" s="983"/>
      <c r="I11" s="983"/>
      <c r="J11" s="984"/>
      <c r="K11" s="985"/>
      <c r="L11" s="986"/>
      <c r="M11" s="987"/>
    </row>
    <row r="12" spans="1:13" s="977" customFormat="1" ht="17.100000000000001" customHeight="1">
      <c r="A12" s="978" t="s">
        <v>356</v>
      </c>
      <c r="B12" s="978"/>
      <c r="C12" s="978"/>
      <c r="D12" s="979"/>
      <c r="E12" s="980"/>
      <c r="F12" s="981"/>
      <c r="G12" s="982"/>
      <c r="H12" s="983"/>
      <c r="I12" s="983"/>
      <c r="J12" s="984"/>
      <c r="K12" s="985"/>
      <c r="L12" s="986"/>
      <c r="M12" s="987"/>
    </row>
    <row r="13" spans="1:13" s="977" customFormat="1" ht="17.100000000000001" customHeight="1">
      <c r="A13" s="978" t="s">
        <v>357</v>
      </c>
      <c r="B13" s="978"/>
      <c r="C13" s="978"/>
      <c r="D13" s="979"/>
      <c r="E13" s="980"/>
      <c r="F13" s="981"/>
      <c r="G13" s="982"/>
      <c r="H13" s="983"/>
      <c r="I13" s="983"/>
      <c r="J13" s="984"/>
      <c r="K13" s="985"/>
      <c r="L13" s="986"/>
      <c r="M13" s="987"/>
    </row>
    <row r="14" spans="1:13" s="977" customFormat="1" ht="17.100000000000001" customHeight="1">
      <c r="A14" s="978" t="s">
        <v>358</v>
      </c>
      <c r="B14" s="978"/>
      <c r="C14" s="978"/>
      <c r="D14" s="979"/>
      <c r="E14" s="980"/>
      <c r="F14" s="981"/>
      <c r="G14" s="982"/>
      <c r="H14" s="983"/>
      <c r="I14" s="983"/>
      <c r="J14" s="984"/>
      <c r="K14" s="985"/>
      <c r="L14" s="986"/>
      <c r="M14" s="987"/>
    </row>
    <row r="15" spans="1:13" s="1022" customFormat="1" ht="17.100000000000001" customHeight="1">
      <c r="A15" s="978" t="s">
        <v>730</v>
      </c>
      <c r="B15" s="978"/>
      <c r="C15" s="978"/>
      <c r="D15" s="979"/>
      <c r="E15" s="980"/>
      <c r="F15" s="981"/>
      <c r="G15" s="982"/>
      <c r="H15" s="983"/>
      <c r="I15" s="983"/>
      <c r="J15" s="984"/>
      <c r="K15" s="985"/>
      <c r="L15" s="986"/>
      <c r="M15" s="987"/>
    </row>
    <row r="16" spans="1:13" s="977" customFormat="1" ht="17.100000000000001" customHeight="1">
      <c r="A16" s="978" t="s">
        <v>731</v>
      </c>
      <c r="B16" s="978"/>
      <c r="C16" s="978"/>
      <c r="D16" s="979"/>
      <c r="E16" s="980"/>
      <c r="F16" s="981"/>
      <c r="G16" s="982"/>
      <c r="H16" s="983"/>
      <c r="I16" s="983"/>
      <c r="J16" s="984"/>
      <c r="K16" s="985"/>
      <c r="L16" s="986"/>
      <c r="M16" s="987"/>
    </row>
    <row r="17" spans="1:13" s="977" customFormat="1" ht="17.100000000000001" customHeight="1">
      <c r="A17" s="978" t="s">
        <v>734</v>
      </c>
      <c r="B17" s="978"/>
      <c r="C17" s="978"/>
      <c r="D17" s="979"/>
      <c r="E17" s="980"/>
      <c r="F17" s="981"/>
      <c r="G17" s="982"/>
      <c r="H17" s="983"/>
      <c r="I17" s="983"/>
      <c r="J17" s="984"/>
      <c r="K17" s="985"/>
      <c r="L17" s="986"/>
      <c r="M17" s="987"/>
    </row>
    <row r="18" spans="1:13" s="977" customFormat="1" ht="17.100000000000001" customHeight="1">
      <c r="A18" s="1033"/>
      <c r="B18" s="978"/>
      <c r="C18" s="978"/>
      <c r="D18" s="979"/>
      <c r="E18" s="980"/>
      <c r="F18" s="981"/>
      <c r="G18" s="982"/>
      <c r="H18" s="983"/>
      <c r="I18" s="983"/>
      <c r="J18" s="984"/>
      <c r="K18" s="985"/>
      <c r="L18" s="986"/>
      <c r="M18" s="987">
        <f>SUM(K9:L17)</f>
        <v>0</v>
      </c>
    </row>
    <row r="19" spans="1:13" s="977" customFormat="1" ht="17.100000000000001" customHeight="1">
      <c r="A19" s="1032" t="s">
        <v>671</v>
      </c>
      <c r="B19" s="1031"/>
      <c r="C19" s="1031"/>
      <c r="D19" s="1030"/>
      <c r="E19" s="1029"/>
      <c r="F19" s="1028"/>
      <c r="G19" s="1027"/>
      <c r="H19" s="1026"/>
      <c r="I19" s="1026"/>
      <c r="J19" s="1025"/>
      <c r="K19" s="1024"/>
      <c r="L19" s="1023"/>
      <c r="M19" s="1023"/>
    </row>
    <row r="20" spans="1:13" s="977" customFormat="1" ht="17.100000000000001" customHeight="1">
      <c r="A20" s="978" t="s">
        <v>353</v>
      </c>
      <c r="B20" s="978"/>
      <c r="C20" s="978"/>
      <c r="D20" s="979"/>
      <c r="E20" s="980"/>
      <c r="F20" s="981"/>
      <c r="G20" s="982"/>
      <c r="H20" s="983"/>
      <c r="I20" s="983"/>
      <c r="J20" s="984"/>
      <c r="K20" s="985"/>
      <c r="L20" s="986"/>
      <c r="M20" s="987"/>
    </row>
    <row r="21" spans="1:13" s="977" customFormat="1" ht="17.100000000000001" customHeight="1">
      <c r="A21" s="978" t="s">
        <v>354</v>
      </c>
      <c r="B21" s="978"/>
      <c r="C21" s="978"/>
      <c r="D21" s="979"/>
      <c r="E21" s="980"/>
      <c r="F21" s="981"/>
      <c r="G21" s="982"/>
      <c r="H21" s="983"/>
      <c r="I21" s="983"/>
      <c r="J21" s="984"/>
      <c r="K21" s="985"/>
      <c r="L21" s="986"/>
      <c r="M21" s="987"/>
    </row>
    <row r="22" spans="1:13" s="1022" customFormat="1" ht="17.100000000000001" customHeight="1">
      <c r="A22" s="978" t="s">
        <v>355</v>
      </c>
      <c r="B22" s="978"/>
      <c r="C22" s="978"/>
      <c r="D22" s="979"/>
      <c r="E22" s="980"/>
      <c r="F22" s="981"/>
      <c r="G22" s="982"/>
      <c r="H22" s="983"/>
      <c r="I22" s="983"/>
      <c r="J22" s="984"/>
      <c r="K22" s="985"/>
      <c r="L22" s="986"/>
      <c r="M22" s="987"/>
    </row>
    <row r="23" spans="1:13" s="977" customFormat="1" ht="17.100000000000001" customHeight="1">
      <c r="A23" s="978" t="s">
        <v>356</v>
      </c>
      <c r="B23" s="978"/>
      <c r="C23" s="978"/>
      <c r="D23" s="979"/>
      <c r="E23" s="980"/>
      <c r="F23" s="981"/>
      <c r="G23" s="982"/>
      <c r="H23" s="983"/>
      <c r="I23" s="983"/>
      <c r="J23" s="984"/>
      <c r="K23" s="985"/>
      <c r="L23" s="986"/>
      <c r="M23" s="987"/>
    </row>
    <row r="24" spans="1:13" s="977" customFormat="1" ht="17.100000000000001" customHeight="1">
      <c r="A24" s="978" t="s">
        <v>357</v>
      </c>
      <c r="B24" s="978"/>
      <c r="C24" s="978"/>
      <c r="D24" s="979"/>
      <c r="E24" s="980"/>
      <c r="F24" s="981"/>
      <c r="G24" s="982"/>
      <c r="H24" s="983"/>
      <c r="I24" s="983"/>
      <c r="J24" s="984"/>
      <c r="K24" s="985"/>
      <c r="L24" s="986"/>
      <c r="M24" s="987"/>
    </row>
    <row r="25" spans="1:13" s="977" customFormat="1" ht="17.100000000000001" customHeight="1">
      <c r="A25" s="978" t="s">
        <v>358</v>
      </c>
      <c r="B25" s="978"/>
      <c r="C25" s="978"/>
      <c r="D25" s="979"/>
      <c r="E25" s="980"/>
      <c r="F25" s="981"/>
      <c r="G25" s="982"/>
      <c r="H25" s="983"/>
      <c r="I25" s="983"/>
      <c r="J25" s="984"/>
      <c r="K25" s="985"/>
      <c r="L25" s="986"/>
      <c r="M25" s="987"/>
    </row>
    <row r="26" spans="1:13" s="977" customFormat="1" ht="17.100000000000001" customHeight="1">
      <c r="A26" s="978" t="s">
        <v>730</v>
      </c>
      <c r="B26" s="978"/>
      <c r="C26" s="978"/>
      <c r="D26" s="979"/>
      <c r="E26" s="980"/>
      <c r="F26" s="981"/>
      <c r="G26" s="982"/>
      <c r="H26" s="983"/>
      <c r="I26" s="983"/>
      <c r="J26" s="984"/>
      <c r="K26" s="985"/>
      <c r="L26" s="986"/>
      <c r="M26" s="987"/>
    </row>
    <row r="27" spans="1:13" s="977" customFormat="1" ht="17.100000000000001" customHeight="1">
      <c r="A27" s="978" t="s">
        <v>731</v>
      </c>
      <c r="B27" s="978"/>
      <c r="C27" s="978"/>
      <c r="D27" s="979"/>
      <c r="E27" s="980"/>
      <c r="F27" s="981"/>
      <c r="G27" s="982"/>
      <c r="H27" s="983"/>
      <c r="I27" s="983"/>
      <c r="J27" s="984"/>
      <c r="K27" s="985"/>
      <c r="L27" s="986"/>
      <c r="M27" s="987"/>
    </row>
    <row r="28" spans="1:13" s="977" customFormat="1" ht="17.100000000000001" customHeight="1">
      <c r="A28" s="978" t="s">
        <v>734</v>
      </c>
      <c r="B28" s="978"/>
      <c r="C28" s="978"/>
      <c r="D28" s="979"/>
      <c r="E28" s="980"/>
      <c r="F28" s="981"/>
      <c r="G28" s="982"/>
      <c r="H28" s="983"/>
      <c r="I28" s="983"/>
      <c r="J28" s="984"/>
      <c r="K28" s="985"/>
      <c r="L28" s="986"/>
      <c r="M28" s="987"/>
    </row>
    <row r="29" spans="1:13" s="977" customFormat="1" ht="17.100000000000001" customHeight="1">
      <c r="A29" s="1033"/>
      <c r="B29" s="978"/>
      <c r="C29" s="978"/>
      <c r="D29" s="979"/>
      <c r="E29" s="980"/>
      <c r="F29" s="981"/>
      <c r="G29" s="982"/>
      <c r="H29" s="983"/>
      <c r="I29" s="983"/>
      <c r="J29" s="984"/>
      <c r="K29" s="985"/>
      <c r="L29" s="986"/>
      <c r="M29" s="987">
        <f>SUM(K20:L28)</f>
        <v>0</v>
      </c>
    </row>
    <row r="30" spans="1:13" s="1022" customFormat="1" ht="17.100000000000001" customHeight="1">
      <c r="A30" s="1032" t="s">
        <v>717</v>
      </c>
      <c r="B30" s="1031"/>
      <c r="C30" s="1031"/>
      <c r="D30" s="1030"/>
      <c r="E30" s="1029"/>
      <c r="F30" s="1028"/>
      <c r="G30" s="1027"/>
      <c r="H30" s="1026"/>
      <c r="I30" s="1026"/>
      <c r="J30" s="1025"/>
      <c r="K30" s="1024"/>
      <c r="L30" s="1023"/>
      <c r="M30" s="1023"/>
    </row>
    <row r="31" spans="1:13" s="977" customFormat="1" ht="17.100000000000001" customHeight="1">
      <c r="A31" s="990" t="s">
        <v>370</v>
      </c>
      <c r="B31" s="978"/>
      <c r="C31" s="978"/>
      <c r="D31" s="979"/>
      <c r="E31" s="980"/>
      <c r="F31" s="981"/>
      <c r="G31" s="982"/>
      <c r="H31" s="983"/>
      <c r="I31" s="983"/>
      <c r="J31" s="984"/>
      <c r="K31" s="985"/>
      <c r="L31" s="986"/>
      <c r="M31" s="987"/>
    </row>
    <row r="32" spans="1:13" s="977" customFormat="1" ht="17.100000000000001" customHeight="1">
      <c r="A32" s="990" t="s">
        <v>373</v>
      </c>
      <c r="B32" s="978"/>
      <c r="C32" s="978"/>
      <c r="D32" s="979"/>
      <c r="E32" s="980"/>
      <c r="F32" s="981"/>
      <c r="G32" s="982"/>
      <c r="H32" s="983"/>
      <c r="I32" s="983"/>
      <c r="J32" s="984"/>
      <c r="K32" s="985"/>
      <c r="L32" s="986"/>
      <c r="M32" s="987"/>
    </row>
    <row r="33" spans="1:13" s="977" customFormat="1" ht="17.100000000000001" customHeight="1">
      <c r="A33" s="990" t="s">
        <v>374</v>
      </c>
      <c r="B33" s="978"/>
      <c r="C33" s="978"/>
      <c r="D33" s="979"/>
      <c r="E33" s="980"/>
      <c r="F33" s="981"/>
      <c r="G33" s="982"/>
      <c r="H33" s="983"/>
      <c r="I33" s="983"/>
      <c r="J33" s="984"/>
      <c r="K33" s="985"/>
      <c r="L33" s="986"/>
      <c r="M33" s="987"/>
    </row>
    <row r="34" spans="1:13" s="977" customFormat="1" ht="17.100000000000001" customHeight="1">
      <c r="A34" s="990" t="s">
        <v>375</v>
      </c>
      <c r="B34" s="978"/>
      <c r="C34" s="978"/>
      <c r="D34" s="979"/>
      <c r="E34" s="980"/>
      <c r="F34" s="981"/>
      <c r="G34" s="982"/>
      <c r="H34" s="983"/>
      <c r="I34" s="983"/>
      <c r="J34" s="984"/>
      <c r="K34" s="985"/>
      <c r="L34" s="986"/>
      <c r="M34" s="987"/>
    </row>
    <row r="35" spans="1:13" s="977" customFormat="1" ht="17.100000000000001" customHeight="1">
      <c r="A35" s="990" t="s">
        <v>670</v>
      </c>
      <c r="B35" s="978"/>
      <c r="C35" s="978"/>
      <c r="D35" s="979"/>
      <c r="E35" s="980"/>
      <c r="F35" s="981"/>
      <c r="G35" s="982"/>
      <c r="H35" s="983"/>
      <c r="I35" s="983"/>
      <c r="J35" s="984"/>
      <c r="K35" s="985"/>
      <c r="L35" s="986"/>
      <c r="M35" s="987"/>
    </row>
    <row r="36" spans="1:13" s="1022" customFormat="1" ht="17.100000000000001" customHeight="1">
      <c r="A36" s="990" t="s">
        <v>669</v>
      </c>
      <c r="B36" s="978"/>
      <c r="C36" s="978"/>
      <c r="D36" s="979"/>
      <c r="E36" s="980"/>
      <c r="F36" s="981"/>
      <c r="G36" s="982"/>
      <c r="H36" s="983"/>
      <c r="I36" s="983"/>
      <c r="J36" s="984"/>
      <c r="K36" s="985"/>
      <c r="L36" s="986"/>
      <c r="M36" s="987"/>
    </row>
    <row r="37" spans="1:13" s="977" customFormat="1" ht="17.100000000000001" customHeight="1">
      <c r="A37" s="990"/>
      <c r="B37" s="978"/>
      <c r="C37" s="978"/>
      <c r="D37" s="979"/>
      <c r="E37" s="980"/>
      <c r="F37" s="981"/>
      <c r="G37" s="982"/>
      <c r="H37" s="983"/>
      <c r="I37" s="983"/>
      <c r="J37" s="984"/>
      <c r="K37" s="985"/>
      <c r="L37" s="986"/>
      <c r="M37" s="987">
        <f>SUM(K31:L36)</f>
        <v>0</v>
      </c>
    </row>
    <row r="38" spans="1:13" s="977" customFormat="1" ht="17.100000000000001" customHeight="1">
      <c r="A38" s="1032" t="s">
        <v>718</v>
      </c>
      <c r="B38" s="1031"/>
      <c r="C38" s="1031"/>
      <c r="D38" s="1030"/>
      <c r="E38" s="1029"/>
      <c r="F38" s="1028"/>
      <c r="G38" s="1027"/>
      <c r="H38" s="1026"/>
      <c r="I38" s="1026"/>
      <c r="J38" s="1025"/>
      <c r="K38" s="1024"/>
      <c r="L38" s="1023"/>
      <c r="M38" s="1023"/>
    </row>
    <row r="39" spans="1:13" s="977" customFormat="1" ht="17.100000000000001" customHeight="1">
      <c r="A39" s="990" t="s">
        <v>415</v>
      </c>
      <c r="B39" s="978"/>
      <c r="C39" s="978"/>
      <c r="D39" s="979"/>
      <c r="E39" s="980"/>
      <c r="F39" s="981"/>
      <c r="G39" s="1145"/>
      <c r="H39" s="1145"/>
      <c r="I39" s="983"/>
      <c r="J39" s="984"/>
      <c r="K39" s="985"/>
      <c r="L39" s="986"/>
      <c r="M39" s="987"/>
    </row>
    <row r="40" spans="1:13" s="977" customFormat="1" ht="17.100000000000001" customHeight="1">
      <c r="A40" s="990" t="s">
        <v>416</v>
      </c>
      <c r="B40" s="978"/>
      <c r="C40" s="978"/>
      <c r="D40" s="979"/>
      <c r="E40" s="980"/>
      <c r="F40" s="981"/>
      <c r="G40" s="1145"/>
      <c r="H40" s="1145"/>
      <c r="I40" s="983"/>
      <c r="J40" s="984"/>
      <c r="K40" s="985"/>
      <c r="L40" s="986"/>
    </row>
    <row r="41" spans="1:13" s="977" customFormat="1" ht="17.100000000000001" customHeight="1">
      <c r="A41" s="990" t="s">
        <v>417</v>
      </c>
      <c r="B41" s="978"/>
      <c r="C41" s="978"/>
      <c r="D41" s="979"/>
      <c r="E41" s="980"/>
      <c r="F41" s="981"/>
      <c r="G41" s="1145"/>
      <c r="H41" s="1145"/>
      <c r="I41" s="983"/>
      <c r="J41" s="984"/>
      <c r="K41" s="985"/>
      <c r="L41" s="986"/>
      <c r="M41" s="987"/>
    </row>
    <row r="42" spans="1:13" s="977" customFormat="1" ht="17.100000000000001" customHeight="1">
      <c r="A42" s="990" t="s">
        <v>719</v>
      </c>
      <c r="B42" s="978"/>
      <c r="C42" s="978"/>
      <c r="D42" s="979"/>
      <c r="E42" s="980"/>
      <c r="F42" s="981"/>
      <c r="G42" s="1145"/>
      <c r="H42" s="1145"/>
      <c r="I42" s="983"/>
      <c r="J42" s="984"/>
      <c r="K42" s="985"/>
      <c r="L42" s="986"/>
      <c r="M42" s="987"/>
    </row>
    <row r="43" spans="1:13" s="977" customFormat="1" ht="17.100000000000001" customHeight="1">
      <c r="A43" s="990" t="s">
        <v>732</v>
      </c>
      <c r="B43" s="978"/>
      <c r="C43" s="978"/>
      <c r="D43" s="979"/>
      <c r="E43" s="980"/>
      <c r="F43" s="981"/>
      <c r="G43" s="1145"/>
      <c r="H43" s="1145"/>
      <c r="I43" s="983"/>
      <c r="J43" s="984"/>
      <c r="K43" s="985"/>
      <c r="L43" s="986"/>
      <c r="M43" s="987"/>
    </row>
    <row r="44" spans="1:13" s="977" customFormat="1" ht="17.100000000000001" customHeight="1">
      <c r="A44" s="990" t="s">
        <v>735</v>
      </c>
      <c r="B44" s="978"/>
      <c r="C44" s="978"/>
      <c r="D44" s="979"/>
      <c r="E44" s="980"/>
      <c r="F44" s="981"/>
      <c r="G44" s="1145"/>
      <c r="H44" s="1145"/>
      <c r="I44" s="983"/>
      <c r="J44" s="984"/>
      <c r="K44" s="985"/>
      <c r="L44" s="986"/>
      <c r="M44" s="987"/>
    </row>
    <row r="45" spans="1:13" s="977" customFormat="1" ht="17.100000000000001" customHeight="1">
      <c r="A45" s="990" t="s">
        <v>736</v>
      </c>
      <c r="B45" s="978"/>
      <c r="C45" s="978"/>
      <c r="D45" s="979"/>
      <c r="E45" s="980"/>
      <c r="F45" s="981"/>
      <c r="G45" s="1145"/>
      <c r="H45" s="1145"/>
      <c r="I45" s="983"/>
      <c r="J45" s="984"/>
      <c r="K45" s="985"/>
      <c r="L45" s="986"/>
      <c r="M45" s="987"/>
    </row>
    <row r="46" spans="1:13" s="977" customFormat="1" ht="17.100000000000001" customHeight="1">
      <c r="A46" s="990" t="s">
        <v>737</v>
      </c>
      <c r="B46" s="978"/>
      <c r="C46" s="978"/>
      <c r="D46" s="979"/>
      <c r="E46" s="980"/>
      <c r="F46" s="981"/>
      <c r="G46" s="1145"/>
      <c r="H46" s="1145"/>
      <c r="I46" s="983"/>
      <c r="J46" s="984"/>
      <c r="K46" s="985"/>
      <c r="L46" s="986"/>
      <c r="M46" s="987"/>
    </row>
    <row r="47" spans="1:13" s="977" customFormat="1" ht="17.100000000000001" customHeight="1">
      <c r="A47" s="990" t="s">
        <v>738</v>
      </c>
      <c r="B47" s="978"/>
      <c r="C47" s="978"/>
      <c r="D47" s="979"/>
      <c r="E47" s="980"/>
      <c r="F47" s="981"/>
      <c r="G47" s="1145"/>
      <c r="H47" s="1145"/>
      <c r="I47" s="983"/>
      <c r="J47" s="984"/>
      <c r="K47" s="985"/>
      <c r="L47" s="986"/>
      <c r="M47" s="987"/>
    </row>
    <row r="48" spans="1:13" s="977" customFormat="1" ht="17.100000000000001" customHeight="1">
      <c r="A48" s="990" t="s">
        <v>733</v>
      </c>
      <c r="B48" s="978"/>
      <c r="C48" s="978"/>
      <c r="D48" s="979"/>
      <c r="E48" s="980"/>
      <c r="F48" s="981"/>
      <c r="G48" s="1145"/>
      <c r="H48" s="1145"/>
      <c r="I48" s="983"/>
      <c r="J48" s="984"/>
      <c r="K48" s="985"/>
      <c r="L48" s="986"/>
      <c r="M48" s="987"/>
    </row>
    <row r="49" spans="1:13" s="977" customFormat="1" ht="17.100000000000001" customHeight="1">
      <c r="A49" s="990"/>
      <c r="B49" s="978"/>
      <c r="C49" s="978"/>
      <c r="D49" s="979"/>
      <c r="E49" s="980"/>
      <c r="F49" s="981"/>
      <c r="G49" s="982"/>
      <c r="H49" s="983"/>
      <c r="I49" s="983"/>
      <c r="J49" s="984"/>
      <c r="K49" s="985"/>
      <c r="L49" s="986"/>
      <c r="M49" s="987">
        <f>SUM(K39:L48)</f>
        <v>0</v>
      </c>
    </row>
    <row r="50" spans="1:13" s="977" customFormat="1" ht="17.100000000000001" customHeight="1">
      <c r="A50" s="1032" t="s">
        <v>720</v>
      </c>
      <c r="B50" s="1031"/>
      <c r="C50" s="1031"/>
      <c r="D50" s="1030"/>
      <c r="E50" s="1029"/>
      <c r="F50" s="1028"/>
      <c r="G50" s="1027"/>
      <c r="H50" s="1026"/>
      <c r="I50" s="1026"/>
      <c r="J50" s="1025"/>
      <c r="K50" s="1024"/>
      <c r="L50" s="1023"/>
      <c r="M50" s="1023"/>
    </row>
    <row r="51" spans="1:13" s="1022" customFormat="1" ht="17.100000000000001" customHeight="1">
      <c r="A51" s="1133" t="s">
        <v>721</v>
      </c>
      <c r="B51" s="1134"/>
      <c r="C51" s="1134"/>
      <c r="D51" s="1135"/>
      <c r="E51" s="1136"/>
      <c r="F51" s="981"/>
      <c r="G51" s="982"/>
      <c r="H51" s="983"/>
      <c r="I51" s="983"/>
      <c r="J51" s="984"/>
      <c r="K51" s="985"/>
      <c r="L51" s="986"/>
      <c r="M51" s="987"/>
    </row>
    <row r="52" spans="1:13" s="977" customFormat="1" ht="17.100000000000001" customHeight="1">
      <c r="A52" s="990" t="s">
        <v>402</v>
      </c>
      <c r="B52" s="978"/>
      <c r="C52" s="978"/>
      <c r="D52" s="979"/>
      <c r="E52" s="980"/>
      <c r="F52" s="981"/>
      <c r="G52" s="981"/>
      <c r="H52" s="983"/>
      <c r="I52" s="983"/>
      <c r="J52" s="984"/>
      <c r="K52" s="985"/>
      <c r="L52" s="986"/>
      <c r="M52" s="987"/>
    </row>
    <row r="53" spans="1:13" s="977" customFormat="1" ht="17.100000000000001" customHeight="1">
      <c r="A53" s="990" t="s">
        <v>403</v>
      </c>
      <c r="B53" s="978"/>
      <c r="C53" s="978"/>
      <c r="D53" s="979"/>
      <c r="E53" s="980"/>
      <c r="F53" s="981"/>
      <c r="G53" s="981"/>
      <c r="H53" s="983"/>
      <c r="I53" s="983"/>
      <c r="J53" s="984"/>
      <c r="K53" s="985"/>
      <c r="L53" s="986"/>
    </row>
    <row r="54" spans="1:13" s="977" customFormat="1" ht="17.100000000000001" customHeight="1">
      <c r="A54" s="990" t="s">
        <v>404</v>
      </c>
      <c r="B54" s="978"/>
      <c r="C54" s="978"/>
      <c r="D54" s="979"/>
      <c r="E54" s="980"/>
      <c r="F54" s="981"/>
      <c r="G54" s="981"/>
      <c r="H54" s="983"/>
      <c r="I54" s="983"/>
      <c r="J54" s="984"/>
      <c r="K54" s="985"/>
      <c r="L54" s="986"/>
      <c r="M54" s="987"/>
    </row>
    <row r="55" spans="1:13" s="977" customFormat="1" ht="17.100000000000001" customHeight="1">
      <c r="A55" s="990" t="s">
        <v>405</v>
      </c>
      <c r="B55" s="978"/>
      <c r="C55" s="978"/>
      <c r="D55" s="979"/>
      <c r="E55" s="980"/>
      <c r="F55" s="981"/>
      <c r="G55" s="981"/>
      <c r="H55" s="983"/>
      <c r="I55" s="983"/>
      <c r="J55" s="984"/>
      <c r="K55" s="985"/>
      <c r="L55" s="986"/>
      <c r="M55" s="987"/>
    </row>
    <row r="56" spans="1:13" s="977" customFormat="1" ht="17.100000000000001" customHeight="1">
      <c r="A56" s="990" t="s">
        <v>743</v>
      </c>
      <c r="B56" s="978"/>
      <c r="C56" s="978"/>
      <c r="D56" s="979"/>
      <c r="E56" s="980"/>
      <c r="F56" s="981"/>
      <c r="G56" s="981"/>
      <c r="H56" s="983"/>
      <c r="I56" s="983"/>
      <c r="J56" s="984"/>
      <c r="K56" s="985"/>
      <c r="L56" s="986"/>
      <c r="M56" s="987"/>
    </row>
    <row r="57" spans="1:13" s="977" customFormat="1" ht="17.100000000000001" customHeight="1">
      <c r="A57" s="990" t="s">
        <v>406</v>
      </c>
      <c r="B57" s="978"/>
      <c r="C57" s="978"/>
      <c r="D57" s="979"/>
      <c r="E57" s="980"/>
      <c r="F57" s="981"/>
      <c r="G57" s="981"/>
      <c r="H57" s="983"/>
      <c r="I57" s="983"/>
      <c r="J57" s="984"/>
      <c r="K57" s="985"/>
      <c r="L57" s="986"/>
      <c r="M57" s="987"/>
    </row>
    <row r="58" spans="1:13" s="977" customFormat="1" ht="17.100000000000001" customHeight="1">
      <c r="A58" s="990" t="s">
        <v>744</v>
      </c>
      <c r="B58" s="978"/>
      <c r="C58" s="978"/>
      <c r="D58" s="979"/>
      <c r="E58" s="980"/>
      <c r="F58" s="981"/>
      <c r="G58" s="981"/>
      <c r="H58" s="983"/>
      <c r="I58" s="983"/>
      <c r="J58" s="984"/>
      <c r="K58" s="985"/>
      <c r="L58" s="986"/>
      <c r="M58" s="987"/>
    </row>
    <row r="59" spans="1:13" s="1022" customFormat="1" ht="17.100000000000001" customHeight="1">
      <c r="A59" s="990" t="s">
        <v>667</v>
      </c>
      <c r="B59" s="978"/>
      <c r="C59" s="978"/>
      <c r="D59" s="979"/>
      <c r="E59" s="980"/>
      <c r="F59" s="981"/>
      <c r="G59" s="981"/>
      <c r="H59" s="983"/>
      <c r="I59" s="983"/>
      <c r="J59" s="984"/>
      <c r="K59" s="985"/>
      <c r="L59" s="986"/>
      <c r="M59" s="987"/>
    </row>
    <row r="60" spans="1:13" s="977" customFormat="1" ht="17.100000000000001" customHeight="1">
      <c r="A60" s="990" t="s">
        <v>682</v>
      </c>
      <c r="B60" s="978"/>
      <c r="C60" s="978"/>
      <c r="D60" s="979"/>
      <c r="E60" s="980"/>
      <c r="F60" s="981"/>
      <c r="G60" s="981"/>
      <c r="H60" s="983"/>
      <c r="I60" s="983"/>
      <c r="J60" s="984"/>
      <c r="K60" s="985"/>
      <c r="L60" s="986"/>
      <c r="M60" s="987"/>
    </row>
    <row r="61" spans="1:13" s="977" customFormat="1" ht="17.100000000000001" customHeight="1">
      <c r="A61" s="990" t="s">
        <v>739</v>
      </c>
      <c r="B61" s="978"/>
      <c r="C61" s="978"/>
      <c r="D61" s="979"/>
      <c r="E61" s="980"/>
      <c r="F61" s="981"/>
      <c r="G61" s="981"/>
      <c r="H61" s="983"/>
      <c r="I61" s="983"/>
      <c r="J61" s="984"/>
      <c r="K61" s="985"/>
      <c r="L61" s="986"/>
      <c r="M61" s="987"/>
    </row>
    <row r="62" spans="1:13" s="977" customFormat="1" ht="17.100000000000001" customHeight="1">
      <c r="A62" s="990" t="s">
        <v>740</v>
      </c>
      <c r="B62" s="978"/>
      <c r="C62" s="978"/>
      <c r="D62" s="979"/>
      <c r="E62" s="980"/>
      <c r="F62" s="981"/>
      <c r="G62" s="981"/>
      <c r="H62" s="983"/>
      <c r="I62" s="983"/>
      <c r="J62" s="984"/>
      <c r="K62" s="985"/>
      <c r="L62" s="986"/>
      <c r="M62" s="987"/>
    </row>
    <row r="63" spans="1:13" s="977" customFormat="1" ht="17.100000000000001" customHeight="1">
      <c r="A63" s="990" t="s">
        <v>741</v>
      </c>
      <c r="B63" s="978"/>
      <c r="C63" s="978"/>
      <c r="D63" s="979"/>
      <c r="E63" s="980"/>
      <c r="F63" s="981"/>
      <c r="G63" s="981"/>
      <c r="H63" s="983"/>
      <c r="I63" s="983"/>
      <c r="J63" s="984"/>
      <c r="K63" s="985"/>
      <c r="L63" s="986"/>
      <c r="M63" s="987"/>
    </row>
    <row r="64" spans="1:13" s="977" customFormat="1" ht="17.100000000000001" customHeight="1">
      <c r="A64" s="990" t="s">
        <v>742</v>
      </c>
      <c r="B64" s="978"/>
      <c r="C64" s="978"/>
      <c r="D64" s="979"/>
      <c r="E64" s="980"/>
      <c r="F64" s="981"/>
      <c r="G64" s="981"/>
      <c r="H64" s="983"/>
      <c r="I64" s="983"/>
      <c r="J64" s="984"/>
      <c r="K64" s="985"/>
      <c r="L64" s="986"/>
      <c r="M64" s="987"/>
    </row>
    <row r="65" spans="1:18" s="977" customFormat="1" ht="17.100000000000001" customHeight="1">
      <c r="A65" s="990" t="s">
        <v>745</v>
      </c>
      <c r="B65" s="1019"/>
      <c r="C65" s="978"/>
      <c r="D65" s="978"/>
      <c r="E65" s="979"/>
      <c r="F65" s="981"/>
      <c r="G65" s="981"/>
      <c r="H65" s="983"/>
      <c r="I65" s="983"/>
      <c r="J65" s="1144"/>
      <c r="K65" s="985"/>
      <c r="L65" s="986"/>
      <c r="M65" s="986"/>
    </row>
    <row r="66" spans="1:18" s="977" customFormat="1" ht="17.100000000000001" customHeight="1">
      <c r="A66" s="990"/>
      <c r="B66" s="978"/>
      <c r="C66" s="978"/>
      <c r="D66" s="979"/>
      <c r="E66" s="980"/>
      <c r="F66" s="981"/>
      <c r="G66" s="982"/>
      <c r="H66" s="983"/>
      <c r="I66" s="983"/>
      <c r="J66" s="984"/>
      <c r="K66" s="985"/>
      <c r="L66" s="986"/>
      <c r="M66" s="987">
        <f>SUM(K52:L65)</f>
        <v>0</v>
      </c>
    </row>
    <row r="67" spans="1:18" s="955" customFormat="1" ht="15" customHeight="1">
      <c r="A67" s="1032" t="s">
        <v>720</v>
      </c>
      <c r="B67" s="1031"/>
      <c r="C67" s="1031"/>
      <c r="D67" s="1030"/>
      <c r="E67" s="1029"/>
      <c r="F67" s="1028"/>
      <c r="G67" s="1027"/>
      <c r="H67" s="1026"/>
      <c r="I67" s="1026"/>
      <c r="J67" s="1025"/>
      <c r="K67" s="1024"/>
      <c r="L67" s="1023"/>
      <c r="M67" s="1023"/>
    </row>
    <row r="68" spans="1:18" s="955" customFormat="1" ht="15" customHeight="1">
      <c r="A68" s="1133" t="s">
        <v>746</v>
      </c>
      <c r="B68" s="1134"/>
      <c r="C68" s="1134"/>
      <c r="D68" s="1135"/>
      <c r="E68" s="1136"/>
      <c r="F68" s="981"/>
      <c r="G68" s="982"/>
      <c r="H68" s="983"/>
      <c r="I68" s="983"/>
      <c r="J68" s="984"/>
      <c r="K68" s="985"/>
      <c r="L68" s="986"/>
      <c r="M68" s="987"/>
    </row>
    <row r="69" spans="1:18" s="955" customFormat="1" ht="18.95" customHeight="1">
      <c r="A69" s="990" t="s">
        <v>402</v>
      </c>
      <c r="B69" s="978"/>
      <c r="C69" s="978"/>
      <c r="D69" s="979"/>
      <c r="E69" s="980"/>
      <c r="F69" s="981"/>
      <c r="G69" s="981"/>
      <c r="H69" s="983"/>
      <c r="I69" s="983"/>
      <c r="J69" s="984"/>
      <c r="K69" s="985"/>
      <c r="L69" s="986"/>
      <c r="M69" s="987"/>
    </row>
    <row r="70" spans="1:18" s="955" customFormat="1" ht="12">
      <c r="A70" s="990" t="s">
        <v>403</v>
      </c>
      <c r="B70" s="978"/>
      <c r="C70" s="978"/>
      <c r="D70" s="979"/>
      <c r="E70" s="980"/>
      <c r="F70" s="981"/>
      <c r="G70" s="981"/>
      <c r="H70" s="983"/>
      <c r="I70" s="983"/>
      <c r="J70" s="984"/>
      <c r="K70" s="985"/>
      <c r="L70" s="986"/>
      <c r="M70" s="977"/>
    </row>
    <row r="71" spans="1:18" ht="15" customHeight="1">
      <c r="A71" s="990" t="s">
        <v>404</v>
      </c>
      <c r="B71" s="978"/>
      <c r="C71" s="978"/>
      <c r="D71" s="979"/>
      <c r="E71" s="980"/>
      <c r="F71" s="981"/>
      <c r="G71" s="981"/>
      <c r="H71" s="983"/>
      <c r="I71" s="983"/>
      <c r="J71" s="984"/>
      <c r="K71" s="985"/>
      <c r="L71" s="986"/>
      <c r="M71" s="987"/>
    </row>
    <row r="72" spans="1:18" ht="15" customHeight="1">
      <c r="A72" s="990" t="s">
        <v>405</v>
      </c>
      <c r="B72" s="978"/>
      <c r="C72" s="978"/>
      <c r="D72" s="979"/>
      <c r="E72" s="980"/>
      <c r="F72" s="981"/>
      <c r="G72" s="981"/>
      <c r="H72" s="983"/>
      <c r="I72" s="983"/>
      <c r="J72" s="984"/>
      <c r="K72" s="985"/>
      <c r="L72" s="986"/>
      <c r="M72" s="987"/>
    </row>
    <row r="73" spans="1:18" ht="15" customHeight="1">
      <c r="A73" s="990" t="s">
        <v>743</v>
      </c>
      <c r="B73" s="978"/>
      <c r="C73" s="978"/>
      <c r="D73" s="979"/>
      <c r="E73" s="980"/>
      <c r="F73" s="981"/>
      <c r="G73" s="981"/>
      <c r="H73" s="983"/>
      <c r="I73" s="983"/>
      <c r="J73" s="984"/>
      <c r="K73" s="985"/>
      <c r="L73" s="986"/>
      <c r="M73" s="987"/>
    </row>
    <row r="74" spans="1:18" ht="15" customHeight="1">
      <c r="A74" s="990" t="s">
        <v>406</v>
      </c>
      <c r="B74" s="978"/>
      <c r="C74" s="978"/>
      <c r="D74" s="979"/>
      <c r="E74" s="980"/>
      <c r="F74" s="981"/>
      <c r="G74" s="981"/>
      <c r="H74" s="983"/>
      <c r="I74" s="983"/>
      <c r="J74" s="984"/>
      <c r="K74" s="985"/>
      <c r="L74" s="986"/>
      <c r="M74" s="987"/>
    </row>
    <row r="75" spans="1:18" ht="15" customHeight="1">
      <c r="A75" s="990" t="s">
        <v>744</v>
      </c>
      <c r="B75" s="978"/>
      <c r="C75" s="978"/>
      <c r="D75" s="979"/>
      <c r="E75" s="980"/>
      <c r="F75" s="981"/>
      <c r="G75" s="981"/>
      <c r="H75" s="983"/>
      <c r="I75" s="983"/>
      <c r="J75" s="984"/>
      <c r="K75" s="985"/>
      <c r="L75" s="986"/>
      <c r="M75" s="987"/>
    </row>
    <row r="76" spans="1:18" ht="15" customHeight="1">
      <c r="A76" s="990" t="s">
        <v>667</v>
      </c>
      <c r="B76" s="978"/>
      <c r="C76" s="978"/>
      <c r="D76" s="979"/>
      <c r="E76" s="980"/>
      <c r="F76" s="981"/>
      <c r="G76" s="981"/>
      <c r="H76" s="983"/>
      <c r="I76" s="983"/>
      <c r="J76" s="984"/>
      <c r="K76" s="985"/>
      <c r="L76" s="986"/>
      <c r="M76" s="987"/>
    </row>
    <row r="77" spans="1:18" ht="15" customHeight="1">
      <c r="A77" s="990" t="s">
        <v>682</v>
      </c>
      <c r="B77" s="978"/>
      <c r="C77" s="978"/>
      <c r="D77" s="979"/>
      <c r="E77" s="980"/>
      <c r="F77" s="981"/>
      <c r="G77" s="981"/>
      <c r="H77" s="983"/>
      <c r="I77" s="983"/>
      <c r="J77" s="984"/>
      <c r="K77" s="985"/>
      <c r="L77" s="986"/>
      <c r="M77" s="987"/>
    </row>
    <row r="78" spans="1:18" ht="15" customHeight="1">
      <c r="A78" s="990" t="s">
        <v>739</v>
      </c>
      <c r="B78" s="978"/>
      <c r="C78" s="978"/>
      <c r="D78" s="979"/>
      <c r="E78" s="980"/>
      <c r="F78" s="981"/>
      <c r="G78" s="981"/>
      <c r="H78" s="983"/>
      <c r="I78" s="983"/>
      <c r="J78" s="984"/>
      <c r="K78" s="985"/>
      <c r="L78" s="986"/>
      <c r="M78" s="987"/>
    </row>
    <row r="79" spans="1:18" ht="15" customHeight="1">
      <c r="A79" s="990" t="s">
        <v>740</v>
      </c>
      <c r="B79" s="978"/>
      <c r="C79" s="978"/>
      <c r="D79" s="979"/>
      <c r="E79" s="980"/>
      <c r="F79" s="981"/>
      <c r="G79" s="981"/>
      <c r="H79" s="983"/>
      <c r="I79" s="983"/>
      <c r="J79" s="984"/>
      <c r="K79" s="985"/>
      <c r="L79" s="986"/>
      <c r="M79" s="987"/>
      <c r="N79" s="1143"/>
      <c r="O79" s="1143"/>
      <c r="P79" s="1143"/>
      <c r="Q79" s="1143"/>
      <c r="R79" s="1143"/>
    </row>
    <row r="80" spans="1:18" ht="15" customHeight="1">
      <c r="A80" s="990" t="s">
        <v>741</v>
      </c>
      <c r="B80" s="978"/>
      <c r="C80" s="978"/>
      <c r="D80" s="979"/>
      <c r="E80" s="980"/>
      <c r="F80" s="981"/>
      <c r="G80" s="981"/>
      <c r="H80" s="983"/>
      <c r="I80" s="983"/>
      <c r="J80" s="984"/>
      <c r="K80" s="985"/>
      <c r="L80" s="986"/>
      <c r="M80" s="987"/>
    </row>
    <row r="81" spans="1:13" ht="15" customHeight="1">
      <c r="A81" s="990" t="s">
        <v>742</v>
      </c>
      <c r="B81" s="978"/>
      <c r="C81" s="978"/>
      <c r="D81" s="979"/>
      <c r="E81" s="980"/>
      <c r="F81" s="981"/>
      <c r="G81" s="981"/>
      <c r="H81" s="983"/>
      <c r="I81" s="983"/>
      <c r="J81" s="984"/>
      <c r="K81" s="985"/>
      <c r="L81" s="986"/>
      <c r="M81" s="987"/>
    </row>
    <row r="82" spans="1:13" ht="15" customHeight="1">
      <c r="A82" s="990" t="s">
        <v>745</v>
      </c>
      <c r="C82" s="978"/>
      <c r="D82" s="978"/>
      <c r="E82" s="979"/>
      <c r="F82" s="981"/>
      <c r="G82" s="981"/>
      <c r="H82" s="983"/>
      <c r="I82" s="983"/>
      <c r="J82" s="1144"/>
      <c r="K82" s="985"/>
      <c r="L82" s="986"/>
      <c r="M82" s="986"/>
    </row>
    <row r="83" spans="1:13" ht="15" customHeight="1">
      <c r="A83" s="990"/>
      <c r="B83" s="978"/>
      <c r="C83" s="978"/>
      <c r="D83" s="979"/>
      <c r="E83" s="980"/>
      <c r="F83" s="981"/>
      <c r="G83" s="982"/>
      <c r="H83" s="983"/>
      <c r="I83" s="983"/>
      <c r="J83" s="984"/>
      <c r="K83" s="985"/>
      <c r="L83" s="986"/>
      <c r="M83" s="987">
        <f>SUM(K69:L82)</f>
        <v>0</v>
      </c>
    </row>
    <row r="84" spans="1:13" ht="15" customHeight="1">
      <c r="A84" s="1032" t="s">
        <v>681</v>
      </c>
      <c r="B84" s="1031"/>
      <c r="C84" s="1031"/>
      <c r="D84" s="1030"/>
      <c r="E84" s="1029"/>
      <c r="F84" s="1028"/>
      <c r="G84" s="1027"/>
      <c r="H84" s="1026"/>
      <c r="I84" s="1026"/>
      <c r="J84" s="1025"/>
      <c r="K84" s="1024"/>
      <c r="L84" s="1023"/>
      <c r="M84" s="1023"/>
    </row>
    <row r="85" spans="1:13" ht="15" customHeight="1">
      <c r="A85" s="1133" t="s">
        <v>722</v>
      </c>
      <c r="B85" s="1134"/>
      <c r="C85" s="1134"/>
      <c r="D85" s="1135"/>
      <c r="E85" s="1136"/>
      <c r="F85" s="981"/>
      <c r="G85" s="982"/>
      <c r="H85" s="983"/>
      <c r="I85" s="983"/>
      <c r="J85" s="984"/>
      <c r="K85" s="985"/>
      <c r="L85" s="986"/>
      <c r="M85" s="987"/>
    </row>
    <row r="86" spans="1:13" ht="15" customHeight="1">
      <c r="A86" s="990" t="s">
        <v>666</v>
      </c>
      <c r="B86" s="978"/>
      <c r="C86" s="978"/>
      <c r="D86" s="979"/>
      <c r="E86" s="980"/>
      <c r="F86" s="981"/>
      <c r="G86" s="981"/>
      <c r="H86" s="983"/>
      <c r="I86" s="983"/>
      <c r="J86" s="984"/>
      <c r="K86" s="985"/>
      <c r="L86" s="986"/>
      <c r="M86" s="987"/>
    </row>
    <row r="87" spans="1:13" ht="15" customHeight="1">
      <c r="A87" s="990"/>
      <c r="B87" s="978"/>
      <c r="C87" s="978"/>
      <c r="D87" s="979"/>
      <c r="E87" s="980"/>
      <c r="F87" s="981"/>
      <c r="G87" s="982"/>
      <c r="H87" s="983"/>
      <c r="I87" s="983"/>
      <c r="J87" s="984"/>
      <c r="K87" s="985"/>
      <c r="L87" s="986"/>
      <c r="M87" s="987">
        <f>SUM(K86:L86)</f>
        <v>0</v>
      </c>
    </row>
    <row r="88" spans="1:13" ht="15" customHeight="1">
      <c r="A88" s="1032" t="s">
        <v>723</v>
      </c>
      <c r="B88" s="1031"/>
      <c r="C88" s="1031"/>
      <c r="D88" s="1030"/>
      <c r="E88" s="1029"/>
      <c r="F88" s="1028"/>
      <c r="G88" s="1027"/>
      <c r="H88" s="1026"/>
      <c r="I88" s="1026"/>
      <c r="J88" s="1025"/>
      <c r="K88" s="1024"/>
      <c r="L88" s="1023"/>
      <c r="M88" s="1023"/>
    </row>
    <row r="89" spans="1:13" ht="15" customHeight="1">
      <c r="A89" s="990"/>
      <c r="B89" s="978"/>
      <c r="C89" s="978"/>
      <c r="D89" s="979"/>
      <c r="E89" s="980"/>
      <c r="F89" s="981"/>
      <c r="G89" s="981"/>
      <c r="H89" s="983"/>
      <c r="I89" s="983"/>
      <c r="J89" s="984"/>
      <c r="K89" s="985"/>
      <c r="L89" s="986"/>
      <c r="M89" s="977"/>
    </row>
    <row r="90" spans="1:13" ht="15" customHeight="1">
      <c r="A90" s="990"/>
      <c r="B90" s="978"/>
      <c r="C90" s="978"/>
      <c r="D90" s="979"/>
      <c r="E90" s="980"/>
      <c r="F90" s="981"/>
      <c r="G90" s="982"/>
      <c r="H90" s="983"/>
      <c r="I90" s="983"/>
      <c r="J90" s="984"/>
      <c r="K90" s="985"/>
      <c r="L90" s="986"/>
      <c r="M90" s="987">
        <f>SUM(K89:L89)</f>
        <v>0</v>
      </c>
    </row>
    <row r="91" spans="1:13" ht="15" customHeight="1">
      <c r="A91" s="1223" t="s">
        <v>657</v>
      </c>
      <c r="B91" s="1224"/>
      <c r="C91" s="1224"/>
      <c r="D91" s="1224"/>
      <c r="E91" s="1224"/>
      <c r="F91" s="1224"/>
      <c r="G91" s="1224"/>
      <c r="H91" s="1224"/>
      <c r="I91" s="1224"/>
      <c r="J91" s="1225"/>
      <c r="K91" s="1013"/>
      <c r="L91" s="1014"/>
      <c r="M91" s="1015"/>
    </row>
    <row r="92" spans="1:13" ht="15" customHeight="1">
      <c r="A92" s="1226" t="s">
        <v>658</v>
      </c>
      <c r="B92" s="1227"/>
      <c r="C92" s="1227"/>
      <c r="D92" s="1227"/>
      <c r="E92" s="1227"/>
      <c r="F92" s="1227"/>
      <c r="G92" s="1227"/>
      <c r="H92" s="1227"/>
      <c r="I92" s="1227"/>
      <c r="J92" s="1228"/>
      <c r="K92" s="1016"/>
      <c r="L92" s="1017"/>
      <c r="M92" s="1018"/>
    </row>
    <row r="93" spans="1:13" ht="15" customHeight="1">
      <c r="A93" s="1229" t="s">
        <v>659</v>
      </c>
      <c r="B93" s="1230"/>
      <c r="C93" s="1230"/>
      <c r="D93" s="1231"/>
      <c r="E93" s="1232" t="s">
        <v>660</v>
      </c>
      <c r="F93" s="1233"/>
      <c r="G93" s="1233"/>
      <c r="H93" s="1233"/>
      <c r="I93" s="1234"/>
      <c r="J93" s="1235" t="s">
        <v>661</v>
      </c>
      <c r="K93" s="1230"/>
      <c r="L93" s="1230"/>
      <c r="M93" s="1236"/>
    </row>
    <row r="94" spans="1:13" ht="15" customHeight="1" thickBot="1">
      <c r="A94" s="1303"/>
      <c r="B94" s="1304"/>
      <c r="C94" s="1304"/>
      <c r="D94" s="1305"/>
      <c r="E94" s="1306"/>
      <c r="F94" s="1307"/>
      <c r="G94" s="1307"/>
      <c r="H94" s="1307"/>
      <c r="I94" s="1308"/>
      <c r="J94" s="1309"/>
      <c r="K94" s="1310"/>
      <c r="L94" s="1310"/>
      <c r="M94" s="1311"/>
    </row>
  </sheetData>
  <mergeCells count="21">
    <mergeCell ref="A1:J1"/>
    <mergeCell ref="K1:L1"/>
    <mergeCell ref="A2:J2"/>
    <mergeCell ref="K2:L2"/>
    <mergeCell ref="A3:J3"/>
    <mergeCell ref="K3:L3"/>
    <mergeCell ref="A94:D94"/>
    <mergeCell ref="E94:I94"/>
    <mergeCell ref="J94:M94"/>
    <mergeCell ref="A4:B4"/>
    <mergeCell ref="C4:L4"/>
    <mergeCell ref="A5:B5"/>
    <mergeCell ref="C5:L5"/>
    <mergeCell ref="A6:E7"/>
    <mergeCell ref="F6:J6"/>
    <mergeCell ref="K6:M6"/>
    <mergeCell ref="A91:J91"/>
    <mergeCell ref="A92:J92"/>
    <mergeCell ref="A93:D93"/>
    <mergeCell ref="E93:I93"/>
    <mergeCell ref="J93:M93"/>
  </mergeCells>
  <printOptions horizontalCentered="1" verticalCentered="1"/>
  <pageMargins left="0.78740157480314965" right="0" top="0" bottom="0" header="0" footer="0"/>
  <pageSetup paperSize="9" scale="54" orientation="portrait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workbookViewId="0">
      <selection activeCell="B28" sqref="B28"/>
    </sheetView>
  </sheetViews>
  <sheetFormatPr defaultColWidth="9.140625" defaultRowHeight="12.75"/>
  <cols>
    <col min="1" max="2" width="9.140625" style="78"/>
    <col min="3" max="3" width="34.140625" style="78" bestFit="1" customWidth="1"/>
    <col min="4" max="4" width="9.140625" style="78"/>
    <col min="5" max="5" width="11.140625" style="78" bestFit="1" customWidth="1"/>
    <col min="6" max="16384" width="9.140625" style="78"/>
  </cols>
  <sheetData>
    <row r="1" spans="2:5" ht="13.5" thickBot="1"/>
    <row r="2" spans="2:5" ht="17.25" thickTop="1" thickBot="1">
      <c r="B2" s="1323" t="s">
        <v>8</v>
      </c>
      <c r="C2" s="1324"/>
      <c r="D2" s="1324"/>
      <c r="E2" s="1325"/>
    </row>
    <row r="3" spans="2:5" ht="20.25" customHeight="1" thickTop="1" thickBot="1">
      <c r="B3" s="1326" t="s">
        <v>86</v>
      </c>
      <c r="C3" s="1327"/>
      <c r="D3" s="1327"/>
      <c r="E3" s="1328"/>
    </row>
    <row r="4" spans="2:5" ht="13.5" thickTop="1">
      <c r="B4" s="131" t="s">
        <v>16</v>
      </c>
      <c r="C4" s="132" t="s">
        <v>87</v>
      </c>
      <c r="D4" s="132" t="s">
        <v>88</v>
      </c>
      <c r="E4" s="133" t="s">
        <v>89</v>
      </c>
    </row>
    <row r="5" spans="2:5">
      <c r="B5" s="134">
        <v>1</v>
      </c>
      <c r="C5" s="135" t="s">
        <v>90</v>
      </c>
      <c r="D5" s="136" t="s">
        <v>282</v>
      </c>
      <c r="E5" s="84">
        <v>75</v>
      </c>
    </row>
    <row r="6" spans="2:5">
      <c r="B6" s="134">
        <v>2</v>
      </c>
      <c r="C6" s="135" t="s">
        <v>91</v>
      </c>
      <c r="D6" s="136" t="s">
        <v>282</v>
      </c>
      <c r="E6" s="84">
        <v>120</v>
      </c>
    </row>
    <row r="7" spans="2:5">
      <c r="B7" s="134">
        <v>3</v>
      </c>
      <c r="C7" s="135" t="s">
        <v>92</v>
      </c>
      <c r="D7" s="136" t="s">
        <v>282</v>
      </c>
      <c r="E7" s="84">
        <v>90</v>
      </c>
    </row>
    <row r="8" spans="2:5">
      <c r="B8" s="134">
        <v>4</v>
      </c>
      <c r="C8" s="135" t="s">
        <v>93</v>
      </c>
      <c r="D8" s="136" t="s">
        <v>94</v>
      </c>
      <c r="E8" s="84">
        <v>350</v>
      </c>
    </row>
    <row r="9" spans="2:5" ht="13.5" thickBot="1">
      <c r="B9" s="137">
        <v>5</v>
      </c>
      <c r="C9" s="138" t="s">
        <v>95</v>
      </c>
      <c r="D9" s="139" t="s">
        <v>282</v>
      </c>
      <c r="E9" s="89">
        <v>80</v>
      </c>
    </row>
    <row r="10" spans="2:5" ht="13.5" thickTop="1">
      <c r="C10" s="140" t="s">
        <v>96</v>
      </c>
    </row>
  </sheetData>
  <mergeCells count="2">
    <mergeCell ref="B2:E2"/>
    <mergeCell ref="B3:E3"/>
  </mergeCells>
  <phoneticPr fontId="43" type="noConversion"/>
  <pageMargins left="0.94488188976377963" right="0.74803149606299213" top="0.7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8"/>
  <sheetViews>
    <sheetView topLeftCell="A61" workbookViewId="0">
      <selection activeCell="P9" sqref="N9:P17"/>
    </sheetView>
  </sheetViews>
  <sheetFormatPr defaultColWidth="9.140625" defaultRowHeight="12.75"/>
  <cols>
    <col min="1" max="1" width="9.140625" style="78"/>
    <col min="2" max="2" width="8.7109375" style="78" customWidth="1"/>
    <col min="3" max="3" width="52.140625" style="78" customWidth="1"/>
    <col min="4" max="4" width="0.28515625" style="78" hidden="1" customWidth="1"/>
    <col min="5" max="5" width="10.7109375" style="78" hidden="1" customWidth="1"/>
    <col min="6" max="6" width="9" style="78" customWidth="1"/>
    <col min="7" max="7" width="0.140625" style="78" hidden="1" customWidth="1"/>
    <col min="8" max="8" width="9.140625" style="78" hidden="1" customWidth="1"/>
    <col min="9" max="9" width="12.7109375" style="78" bestFit="1" customWidth="1"/>
    <col min="10" max="16384" width="9.140625" style="78"/>
  </cols>
  <sheetData>
    <row r="1" spans="2:9" ht="13.5" thickBot="1"/>
    <row r="2" spans="2:9" ht="17.25" thickTop="1" thickBot="1">
      <c r="B2" s="1323" t="s">
        <v>14</v>
      </c>
      <c r="C2" s="1324"/>
      <c r="D2" s="1324"/>
      <c r="E2" s="1324"/>
      <c r="F2" s="1324"/>
      <c r="G2" s="1324"/>
      <c r="H2" s="1324"/>
      <c r="I2" s="1325"/>
    </row>
    <row r="3" spans="2:9" ht="20.25" customHeight="1" thickTop="1" thickBot="1">
      <c r="B3" s="1326" t="s">
        <v>15</v>
      </c>
      <c r="C3" s="1327"/>
      <c r="D3" s="1327"/>
      <c r="E3" s="1327"/>
      <c r="F3" s="1327"/>
      <c r="G3" s="90"/>
      <c r="H3" s="90"/>
      <c r="I3" s="91">
        <v>39579</v>
      </c>
    </row>
    <row r="4" spans="2:9" ht="13.5" thickTop="1">
      <c r="B4" s="1333" t="s">
        <v>16</v>
      </c>
      <c r="C4" s="1329" t="s">
        <v>247</v>
      </c>
      <c r="D4" s="1335" t="s">
        <v>17</v>
      </c>
      <c r="E4" s="1337" t="s">
        <v>18</v>
      </c>
      <c r="F4" s="1329" t="s">
        <v>104</v>
      </c>
      <c r="G4" s="92" t="s">
        <v>19</v>
      </c>
      <c r="H4" s="92" t="s">
        <v>20</v>
      </c>
      <c r="I4" s="1331" t="s">
        <v>107</v>
      </c>
    </row>
    <row r="5" spans="2:9" ht="13.5" thickBot="1">
      <c r="B5" s="1334"/>
      <c r="C5" s="1330"/>
      <c r="D5" s="1336"/>
      <c r="E5" s="1338"/>
      <c r="F5" s="1330"/>
      <c r="G5" s="93" t="s">
        <v>21</v>
      </c>
      <c r="H5" s="93" t="s">
        <v>22</v>
      </c>
      <c r="I5" s="1332"/>
    </row>
    <row r="6" spans="2:9" ht="13.5" thickTop="1">
      <c r="B6" s="94" t="s">
        <v>293</v>
      </c>
      <c r="C6" s="95" t="s">
        <v>23</v>
      </c>
      <c r="D6" s="96"/>
      <c r="E6" s="97"/>
      <c r="F6" s="98" t="s">
        <v>293</v>
      </c>
      <c r="G6" s="99"/>
      <c r="H6" s="100"/>
      <c r="I6" s="101"/>
    </row>
    <row r="7" spans="2:9">
      <c r="B7" s="102">
        <v>1</v>
      </c>
      <c r="C7" s="85" t="s">
        <v>312</v>
      </c>
      <c r="D7" s="103" t="s">
        <v>24</v>
      </c>
      <c r="E7" s="104">
        <v>36532</v>
      </c>
      <c r="F7" s="81" t="s">
        <v>297</v>
      </c>
      <c r="G7" s="105">
        <v>106838</v>
      </c>
      <c r="H7" s="106">
        <v>0</v>
      </c>
      <c r="I7" s="83">
        <v>5000</v>
      </c>
    </row>
    <row r="8" spans="2:9">
      <c r="B8" s="102">
        <v>2</v>
      </c>
      <c r="C8" s="85" t="s">
        <v>313</v>
      </c>
      <c r="D8" s="103"/>
      <c r="E8" s="104"/>
      <c r="F8" s="81" t="s">
        <v>297</v>
      </c>
      <c r="G8" s="105"/>
      <c r="H8" s="106"/>
      <c r="I8" s="83">
        <v>4830</v>
      </c>
    </row>
    <row r="9" spans="2:9">
      <c r="B9" s="102">
        <v>3</v>
      </c>
      <c r="C9" s="85" t="s">
        <v>314</v>
      </c>
      <c r="D9" s="103"/>
      <c r="E9" s="104"/>
      <c r="F9" s="81" t="s">
        <v>297</v>
      </c>
      <c r="G9" s="105"/>
      <c r="H9" s="106"/>
      <c r="I9" s="83">
        <v>3480</v>
      </c>
    </row>
    <row r="10" spans="2:9">
      <c r="B10" s="102">
        <v>4</v>
      </c>
      <c r="C10" s="85" t="s">
        <v>315</v>
      </c>
      <c r="D10" s="103"/>
      <c r="E10" s="104"/>
      <c r="F10" s="81" t="s">
        <v>297</v>
      </c>
      <c r="G10" s="105"/>
      <c r="H10" s="106"/>
      <c r="I10" s="83">
        <v>3460</v>
      </c>
    </row>
    <row r="11" spans="2:9" ht="13.5" thickBot="1">
      <c r="B11" s="102">
        <v>5</v>
      </c>
      <c r="C11" s="85" t="s">
        <v>316</v>
      </c>
      <c r="D11" s="103"/>
      <c r="E11" s="104"/>
      <c r="F11" s="81" t="s">
        <v>297</v>
      </c>
      <c r="G11" s="105"/>
      <c r="H11" s="106"/>
      <c r="I11" s="83">
        <v>3420</v>
      </c>
    </row>
    <row r="12" spans="2:9" ht="13.5" thickTop="1">
      <c r="B12" s="102"/>
      <c r="C12" s="95" t="s">
        <v>317</v>
      </c>
      <c r="D12" s="103"/>
      <c r="E12" s="104"/>
      <c r="F12" s="81" t="s">
        <v>297</v>
      </c>
      <c r="G12" s="105"/>
      <c r="H12" s="106"/>
      <c r="I12" s="83"/>
    </row>
    <row r="13" spans="2:9">
      <c r="B13" s="102">
        <v>1</v>
      </c>
      <c r="C13" s="85" t="s">
        <v>318</v>
      </c>
      <c r="D13" s="103"/>
      <c r="E13" s="104"/>
      <c r="F13" s="81" t="s">
        <v>319</v>
      </c>
      <c r="G13" s="105"/>
      <c r="H13" s="106"/>
      <c r="I13" s="83">
        <v>165</v>
      </c>
    </row>
    <row r="14" spans="2:9">
      <c r="B14" s="102">
        <v>2</v>
      </c>
      <c r="C14" s="85" t="s">
        <v>320</v>
      </c>
      <c r="D14" s="103"/>
      <c r="E14" s="104"/>
      <c r="F14" s="81" t="s">
        <v>319</v>
      </c>
      <c r="G14" s="105"/>
      <c r="H14" s="106"/>
      <c r="I14" s="83">
        <v>195</v>
      </c>
    </row>
    <row r="15" spans="2:9">
      <c r="B15" s="102">
        <v>3</v>
      </c>
      <c r="C15" s="85" t="s">
        <v>321</v>
      </c>
      <c r="D15" s="103"/>
      <c r="E15" s="104"/>
      <c r="F15" s="81" t="s">
        <v>319</v>
      </c>
      <c r="G15" s="105"/>
      <c r="H15" s="106"/>
      <c r="I15" s="83">
        <v>255</v>
      </c>
    </row>
    <row r="16" spans="2:9">
      <c r="B16" s="102">
        <v>4</v>
      </c>
      <c r="C16" s="85" t="s">
        <v>322</v>
      </c>
      <c r="D16" s="103"/>
      <c r="E16" s="104"/>
      <c r="F16" s="81" t="s">
        <v>319</v>
      </c>
      <c r="G16" s="105"/>
      <c r="H16" s="106"/>
      <c r="I16" s="83">
        <v>395</v>
      </c>
    </row>
    <row r="17" spans="2:9">
      <c r="B17" s="102"/>
      <c r="C17" s="85"/>
      <c r="D17" s="103"/>
      <c r="E17" s="104"/>
      <c r="F17" s="81"/>
      <c r="G17" s="105"/>
      <c r="H17" s="106"/>
      <c r="I17" s="83"/>
    </row>
    <row r="18" spans="2:9">
      <c r="B18" s="102">
        <v>5</v>
      </c>
      <c r="C18" s="85" t="s">
        <v>25</v>
      </c>
      <c r="D18" s="107"/>
      <c r="E18" s="104">
        <v>36532</v>
      </c>
      <c r="F18" s="81" t="s">
        <v>289</v>
      </c>
      <c r="G18" s="105">
        <v>250000</v>
      </c>
      <c r="H18" s="106">
        <v>0</v>
      </c>
      <c r="I18" s="83"/>
    </row>
    <row r="19" spans="2:9">
      <c r="B19" s="102">
        <v>12</v>
      </c>
      <c r="C19" s="108" t="s">
        <v>7</v>
      </c>
      <c r="D19" s="109"/>
      <c r="E19" s="110"/>
      <c r="F19" s="111"/>
      <c r="G19" s="112"/>
      <c r="H19" s="113"/>
      <c r="I19" s="114"/>
    </row>
    <row r="20" spans="2:9">
      <c r="B20" s="102">
        <v>13</v>
      </c>
      <c r="C20" s="85" t="s">
        <v>26</v>
      </c>
      <c r="D20" s="103" t="s">
        <v>27</v>
      </c>
      <c r="E20" s="104">
        <v>36514</v>
      </c>
      <c r="F20" s="81" t="s">
        <v>285</v>
      </c>
      <c r="G20" s="105">
        <v>18800000</v>
      </c>
      <c r="H20" s="106"/>
      <c r="I20" s="84"/>
    </row>
    <row r="21" spans="2:9">
      <c r="B21" s="102">
        <v>14</v>
      </c>
      <c r="C21" s="85" t="s">
        <v>28</v>
      </c>
      <c r="D21" s="103"/>
      <c r="E21" s="104"/>
      <c r="F21" s="81"/>
      <c r="G21" s="105"/>
      <c r="H21" s="106"/>
      <c r="I21" s="84"/>
    </row>
    <row r="22" spans="2:9">
      <c r="B22" s="102">
        <v>15</v>
      </c>
      <c r="C22" s="85" t="s">
        <v>29</v>
      </c>
      <c r="D22" s="103"/>
      <c r="E22" s="104"/>
      <c r="F22" s="81"/>
      <c r="G22" s="105"/>
      <c r="H22" s="106"/>
      <c r="I22" s="84"/>
    </row>
    <row r="23" spans="2:9">
      <c r="B23" s="102">
        <v>16</v>
      </c>
      <c r="C23" s="85" t="s">
        <v>30</v>
      </c>
      <c r="D23" s="103"/>
      <c r="E23" s="104"/>
      <c r="F23" s="81"/>
      <c r="G23" s="105"/>
      <c r="H23" s="106"/>
      <c r="I23" s="84"/>
    </row>
    <row r="24" spans="2:9">
      <c r="B24" s="102">
        <v>17</v>
      </c>
      <c r="C24" s="85" t="s">
        <v>31</v>
      </c>
      <c r="D24" s="103"/>
      <c r="E24" s="104"/>
      <c r="F24" s="81"/>
      <c r="G24" s="105"/>
      <c r="H24" s="106"/>
      <c r="I24" s="84"/>
    </row>
    <row r="25" spans="2:9">
      <c r="B25" s="102">
        <v>18</v>
      </c>
      <c r="C25" s="85" t="s">
        <v>32</v>
      </c>
      <c r="D25" s="103"/>
      <c r="E25" s="104"/>
      <c r="F25" s="81"/>
      <c r="G25" s="105"/>
      <c r="H25" s="106"/>
      <c r="I25" s="84"/>
    </row>
    <row r="26" spans="2:9">
      <c r="B26" s="102">
        <v>19</v>
      </c>
      <c r="C26" s="85" t="s">
        <v>33</v>
      </c>
      <c r="D26" s="103"/>
      <c r="E26" s="104"/>
      <c r="F26" s="81"/>
      <c r="G26" s="105"/>
      <c r="H26" s="106"/>
      <c r="I26" s="84"/>
    </row>
    <row r="27" spans="2:9">
      <c r="B27" s="102">
        <v>20</v>
      </c>
      <c r="C27" s="85" t="s">
        <v>34</v>
      </c>
      <c r="D27" s="103"/>
      <c r="E27" s="104"/>
      <c r="F27" s="81"/>
      <c r="G27" s="105"/>
      <c r="H27" s="106"/>
      <c r="I27" s="84"/>
    </row>
    <row r="28" spans="2:9">
      <c r="B28" s="102">
        <v>21</v>
      </c>
      <c r="C28" s="108" t="s">
        <v>35</v>
      </c>
      <c r="D28" s="109"/>
      <c r="E28" s="110"/>
      <c r="F28" s="111"/>
      <c r="G28" s="112"/>
      <c r="H28" s="113"/>
      <c r="I28" s="114"/>
    </row>
    <row r="29" spans="2:9">
      <c r="B29" s="102">
        <v>22</v>
      </c>
      <c r="C29" s="116"/>
      <c r="D29" s="103"/>
      <c r="E29" s="117"/>
      <c r="F29" s="81"/>
      <c r="G29" s="105"/>
      <c r="H29" s="106"/>
      <c r="I29" s="118"/>
    </row>
    <row r="30" spans="2:9">
      <c r="B30" s="115"/>
      <c r="C30" s="116"/>
      <c r="D30" s="103"/>
      <c r="E30" s="117"/>
      <c r="F30" s="81"/>
      <c r="G30" s="105"/>
      <c r="H30" s="106"/>
      <c r="I30" s="118"/>
    </row>
    <row r="31" spans="2:9">
      <c r="B31" s="115"/>
      <c r="C31" s="116"/>
      <c r="D31" s="103"/>
      <c r="E31" s="117"/>
      <c r="F31" s="81"/>
      <c r="G31" s="105"/>
      <c r="H31" s="106"/>
      <c r="I31" s="118"/>
    </row>
    <row r="32" spans="2:9">
      <c r="B32" s="115"/>
      <c r="C32" s="116"/>
      <c r="D32" s="103"/>
      <c r="E32" s="117"/>
      <c r="F32" s="81"/>
      <c r="G32" s="105"/>
      <c r="H32" s="106"/>
      <c r="I32" s="118"/>
    </row>
    <row r="33" spans="2:9">
      <c r="B33" s="115"/>
      <c r="C33" s="116"/>
      <c r="D33" s="103"/>
      <c r="E33" s="117"/>
      <c r="F33" s="81"/>
      <c r="G33" s="105"/>
      <c r="H33" s="106"/>
      <c r="I33" s="118"/>
    </row>
    <row r="34" spans="2:9">
      <c r="B34" s="115"/>
      <c r="C34" s="116"/>
      <c r="D34" s="103"/>
      <c r="E34" s="117"/>
      <c r="F34" s="81"/>
      <c r="G34" s="105"/>
      <c r="H34" s="106"/>
      <c r="I34" s="118"/>
    </row>
    <row r="35" spans="2:9">
      <c r="B35" s="102"/>
      <c r="C35" s="85"/>
      <c r="D35" s="103" t="s">
        <v>36</v>
      </c>
      <c r="E35" s="104">
        <v>36522</v>
      </c>
      <c r="F35" s="81" t="s">
        <v>99</v>
      </c>
      <c r="G35" s="105">
        <v>150000</v>
      </c>
      <c r="H35" s="106"/>
      <c r="I35" s="84"/>
    </row>
    <row r="36" spans="2:9">
      <c r="B36" s="94" t="s">
        <v>293</v>
      </c>
      <c r="C36" s="108" t="s">
        <v>37</v>
      </c>
      <c r="D36" s="109"/>
      <c r="E36" s="110"/>
      <c r="F36" s="111"/>
      <c r="G36" s="112"/>
      <c r="H36" s="113"/>
      <c r="I36" s="114"/>
    </row>
    <row r="37" spans="2:9">
      <c r="B37" s="102">
        <v>8</v>
      </c>
      <c r="C37" s="85" t="s">
        <v>38</v>
      </c>
      <c r="D37" s="103" t="s">
        <v>39</v>
      </c>
      <c r="E37" s="104">
        <v>36479</v>
      </c>
      <c r="F37" s="81" t="s">
        <v>284</v>
      </c>
      <c r="G37" s="105">
        <v>2265700</v>
      </c>
      <c r="H37" s="106"/>
      <c r="I37" s="84">
        <v>7</v>
      </c>
    </row>
    <row r="38" spans="2:9">
      <c r="B38" s="102">
        <v>9</v>
      </c>
      <c r="C38" s="85" t="s">
        <v>40</v>
      </c>
      <c r="D38" s="103" t="s">
        <v>39</v>
      </c>
      <c r="E38" s="104">
        <v>36479</v>
      </c>
      <c r="F38" s="81" t="s">
        <v>284</v>
      </c>
      <c r="G38" s="105">
        <v>3252800</v>
      </c>
      <c r="H38" s="106"/>
      <c r="I38" s="84">
        <v>27</v>
      </c>
    </row>
    <row r="39" spans="2:9">
      <c r="B39" s="102">
        <v>10</v>
      </c>
      <c r="C39" s="85" t="s">
        <v>41</v>
      </c>
      <c r="D39" s="103"/>
      <c r="E39" s="104"/>
      <c r="F39" s="81" t="s">
        <v>284</v>
      </c>
      <c r="G39" s="105">
        <v>3252800</v>
      </c>
      <c r="H39" s="106"/>
      <c r="I39" s="84">
        <v>10</v>
      </c>
    </row>
    <row r="40" spans="2:9">
      <c r="B40" s="94" t="s">
        <v>293</v>
      </c>
      <c r="C40" s="108" t="s">
        <v>42</v>
      </c>
      <c r="D40" s="109"/>
      <c r="E40" s="110"/>
      <c r="F40" s="111"/>
      <c r="G40" s="112"/>
      <c r="H40" s="113"/>
      <c r="I40" s="114"/>
    </row>
    <row r="41" spans="2:9">
      <c r="B41" s="102">
        <v>11</v>
      </c>
      <c r="C41" s="85" t="s">
        <v>43</v>
      </c>
      <c r="D41" s="103" t="s">
        <v>44</v>
      </c>
      <c r="E41" s="104">
        <v>36495</v>
      </c>
      <c r="F41" s="81" t="s">
        <v>285</v>
      </c>
      <c r="G41" s="105">
        <v>330000000</v>
      </c>
      <c r="H41" s="106">
        <v>0</v>
      </c>
      <c r="I41" s="84">
        <v>1400</v>
      </c>
    </row>
    <row r="42" spans="2:9">
      <c r="B42" s="102">
        <v>12</v>
      </c>
      <c r="C42" s="85" t="s">
        <v>45</v>
      </c>
      <c r="D42" s="107"/>
      <c r="E42" s="104">
        <v>36524</v>
      </c>
      <c r="F42" s="81" t="s">
        <v>285</v>
      </c>
      <c r="G42" s="105">
        <v>63000000</v>
      </c>
      <c r="H42" s="106">
        <v>0</v>
      </c>
      <c r="I42" s="84">
        <v>360</v>
      </c>
    </row>
    <row r="43" spans="2:9">
      <c r="B43" s="102"/>
      <c r="C43" s="108" t="s">
        <v>46</v>
      </c>
      <c r="D43" s="109"/>
      <c r="E43" s="110"/>
      <c r="F43" s="111"/>
      <c r="G43" s="112"/>
      <c r="H43" s="113"/>
      <c r="I43" s="114"/>
    </row>
    <row r="44" spans="2:9">
      <c r="B44" s="102">
        <v>13</v>
      </c>
      <c r="C44" s="85" t="s">
        <v>47</v>
      </c>
      <c r="D44" s="107"/>
      <c r="E44" s="119"/>
      <c r="F44" s="81" t="s">
        <v>290</v>
      </c>
      <c r="G44" s="105">
        <v>190000</v>
      </c>
      <c r="H44" s="106"/>
      <c r="I44" s="84">
        <v>1.07</v>
      </c>
    </row>
    <row r="45" spans="2:9">
      <c r="B45" s="102">
        <v>14</v>
      </c>
      <c r="C45" s="85" t="s">
        <v>48</v>
      </c>
      <c r="D45" s="103"/>
      <c r="E45" s="104"/>
      <c r="F45" s="81" t="s">
        <v>289</v>
      </c>
      <c r="G45" s="105"/>
      <c r="H45" s="106"/>
      <c r="I45" s="84">
        <v>1.1000000000000001</v>
      </c>
    </row>
    <row r="46" spans="2:9">
      <c r="B46" s="102"/>
      <c r="C46" s="108" t="s">
        <v>49</v>
      </c>
      <c r="D46" s="109"/>
      <c r="E46" s="110"/>
      <c r="F46" s="111"/>
      <c r="G46" s="112"/>
      <c r="H46" s="113"/>
      <c r="I46" s="114"/>
    </row>
    <row r="47" spans="2:9">
      <c r="B47" s="102">
        <v>15</v>
      </c>
      <c r="C47" s="80" t="s">
        <v>50</v>
      </c>
      <c r="D47" s="103" t="s">
        <v>51</v>
      </c>
      <c r="E47" s="104">
        <v>36527</v>
      </c>
      <c r="F47" s="81" t="s">
        <v>290</v>
      </c>
      <c r="G47" s="120">
        <v>0.31</v>
      </c>
      <c r="H47" s="106">
        <v>0</v>
      </c>
      <c r="I47" s="84">
        <v>0.5</v>
      </c>
    </row>
    <row r="48" spans="2:9">
      <c r="B48" s="102">
        <v>16</v>
      </c>
      <c r="C48" s="80" t="s">
        <v>52</v>
      </c>
      <c r="D48" s="103" t="s">
        <v>51</v>
      </c>
      <c r="E48" s="104">
        <v>36527</v>
      </c>
      <c r="F48" s="81" t="s">
        <v>290</v>
      </c>
      <c r="G48" s="120">
        <v>2.48</v>
      </c>
      <c r="H48" s="106">
        <v>0</v>
      </c>
      <c r="I48" s="84">
        <v>5</v>
      </c>
    </row>
    <row r="49" spans="2:9">
      <c r="B49" s="102"/>
      <c r="C49" s="108" t="s">
        <v>53</v>
      </c>
      <c r="D49" s="109"/>
      <c r="E49" s="110"/>
      <c r="F49" s="111"/>
      <c r="G49" s="112"/>
      <c r="H49" s="113"/>
      <c r="I49" s="114"/>
    </row>
    <row r="50" spans="2:9">
      <c r="B50" s="94">
        <v>17</v>
      </c>
      <c r="C50" s="80" t="s">
        <v>54</v>
      </c>
      <c r="D50" s="103" t="s">
        <v>55</v>
      </c>
      <c r="E50" s="121">
        <v>36527</v>
      </c>
      <c r="F50" s="81" t="s">
        <v>287</v>
      </c>
      <c r="G50" s="105">
        <v>9100000</v>
      </c>
      <c r="H50" s="106">
        <v>0</v>
      </c>
      <c r="I50" s="84">
        <v>27</v>
      </c>
    </row>
    <row r="51" spans="2:9">
      <c r="B51" s="102"/>
      <c r="C51" s="108" t="s">
        <v>56</v>
      </c>
      <c r="D51" s="109"/>
      <c r="E51" s="110"/>
      <c r="F51" s="111"/>
      <c r="G51" s="112"/>
      <c r="H51" s="113"/>
      <c r="I51" s="114"/>
    </row>
    <row r="52" spans="2:9">
      <c r="B52" s="102">
        <v>18</v>
      </c>
      <c r="C52" s="80" t="s">
        <v>57</v>
      </c>
      <c r="D52" s="103" t="s">
        <v>58</v>
      </c>
      <c r="E52" s="119"/>
      <c r="F52" s="81" t="s">
        <v>284</v>
      </c>
      <c r="G52" s="105">
        <v>5000000</v>
      </c>
      <c r="H52" s="106">
        <v>0</v>
      </c>
      <c r="I52" s="84">
        <v>17</v>
      </c>
    </row>
    <row r="53" spans="2:9">
      <c r="B53" s="122" t="s">
        <v>59</v>
      </c>
      <c r="C53" s="108" t="s">
        <v>60</v>
      </c>
      <c r="D53" s="109"/>
      <c r="E53" s="110"/>
      <c r="F53" s="111"/>
      <c r="G53" s="112"/>
      <c r="H53" s="113"/>
      <c r="I53" s="114"/>
    </row>
    <row r="54" spans="2:9">
      <c r="B54" s="122">
        <v>19</v>
      </c>
      <c r="C54" s="80" t="s">
        <v>61</v>
      </c>
      <c r="D54" s="103"/>
      <c r="E54" s="104"/>
      <c r="F54" s="81" t="s">
        <v>287</v>
      </c>
      <c r="G54" s="123">
        <v>2602</v>
      </c>
      <c r="H54" s="106"/>
      <c r="I54" s="84">
        <v>15.5</v>
      </c>
    </row>
    <row r="55" spans="2:9">
      <c r="B55" s="122">
        <v>20</v>
      </c>
      <c r="C55" s="80" t="s">
        <v>62</v>
      </c>
      <c r="D55" s="103"/>
      <c r="E55" s="104"/>
      <c r="F55" s="81" t="s">
        <v>290</v>
      </c>
      <c r="G55" s="123"/>
      <c r="H55" s="106"/>
      <c r="I55" s="84">
        <v>0.85</v>
      </c>
    </row>
    <row r="56" spans="2:9">
      <c r="B56" s="122">
        <v>21</v>
      </c>
      <c r="C56" s="85" t="s">
        <v>63</v>
      </c>
      <c r="D56" s="103"/>
      <c r="E56" s="104"/>
      <c r="F56" s="81" t="s">
        <v>290</v>
      </c>
      <c r="G56" s="105"/>
      <c r="H56" s="106"/>
      <c r="I56" s="84">
        <v>7.9</v>
      </c>
    </row>
    <row r="57" spans="2:9">
      <c r="B57" s="122"/>
      <c r="C57" s="108" t="s">
        <v>64</v>
      </c>
      <c r="D57" s="109"/>
      <c r="E57" s="110"/>
      <c r="F57" s="111"/>
      <c r="G57" s="112"/>
      <c r="H57" s="113"/>
      <c r="I57" s="114"/>
    </row>
    <row r="58" spans="2:9">
      <c r="B58" s="102">
        <v>22</v>
      </c>
      <c r="C58" s="85" t="s">
        <v>65</v>
      </c>
      <c r="D58" s="103" t="s">
        <v>66</v>
      </c>
      <c r="E58" s="104">
        <v>36524</v>
      </c>
      <c r="F58" s="81" t="s">
        <v>285</v>
      </c>
      <c r="G58" s="105">
        <v>2450000</v>
      </c>
      <c r="H58" s="106"/>
      <c r="I58" s="84">
        <v>17.600000000000001</v>
      </c>
    </row>
    <row r="59" spans="2:9">
      <c r="B59" s="102">
        <v>23</v>
      </c>
      <c r="C59" s="85" t="s">
        <v>67</v>
      </c>
      <c r="D59" s="103" t="s">
        <v>66</v>
      </c>
      <c r="E59" s="104">
        <v>36524</v>
      </c>
      <c r="F59" s="81" t="s">
        <v>285</v>
      </c>
      <c r="G59" s="105">
        <v>3000000</v>
      </c>
      <c r="H59" s="106"/>
      <c r="I59" s="84">
        <v>33</v>
      </c>
    </row>
    <row r="60" spans="2:9">
      <c r="B60" s="102">
        <v>24</v>
      </c>
      <c r="C60" s="85" t="s">
        <v>68</v>
      </c>
      <c r="D60" s="103" t="s">
        <v>66</v>
      </c>
      <c r="E60" s="104">
        <v>36524</v>
      </c>
      <c r="F60" s="81" t="s">
        <v>285</v>
      </c>
      <c r="G60" s="105">
        <v>2550000</v>
      </c>
      <c r="H60" s="106"/>
      <c r="I60" s="84">
        <v>16</v>
      </c>
    </row>
    <row r="61" spans="2:9">
      <c r="B61" s="102">
        <v>25</v>
      </c>
      <c r="C61" s="85" t="s">
        <v>69</v>
      </c>
      <c r="D61" s="103"/>
      <c r="E61" s="104"/>
      <c r="F61" s="81" t="s">
        <v>287</v>
      </c>
      <c r="G61" s="105"/>
      <c r="H61" s="106"/>
      <c r="I61" s="84">
        <v>1.25</v>
      </c>
    </row>
    <row r="62" spans="2:9">
      <c r="B62" s="102">
        <v>26</v>
      </c>
      <c r="C62" s="85" t="s">
        <v>70</v>
      </c>
      <c r="D62" s="103"/>
      <c r="E62" s="104"/>
      <c r="F62" s="81" t="s">
        <v>290</v>
      </c>
      <c r="G62" s="105"/>
      <c r="H62" s="106"/>
      <c r="I62" s="84">
        <v>1.2</v>
      </c>
    </row>
    <row r="63" spans="2:9">
      <c r="B63" s="102">
        <v>27</v>
      </c>
      <c r="C63" s="85" t="s">
        <v>71</v>
      </c>
      <c r="D63" s="103"/>
      <c r="E63" s="104"/>
      <c r="F63" s="81" t="s">
        <v>290</v>
      </c>
      <c r="G63" s="105"/>
      <c r="H63" s="106"/>
      <c r="I63" s="84">
        <v>2.5</v>
      </c>
    </row>
    <row r="64" spans="2:9">
      <c r="B64" s="102">
        <v>28</v>
      </c>
      <c r="C64" s="85" t="s">
        <v>292</v>
      </c>
      <c r="D64" s="103"/>
      <c r="E64" s="104"/>
      <c r="F64" s="81" t="s">
        <v>72</v>
      </c>
      <c r="G64" s="105"/>
      <c r="H64" s="106"/>
      <c r="I64" s="84">
        <v>0.12</v>
      </c>
    </row>
    <row r="65" spans="2:9">
      <c r="B65" s="102">
        <v>29</v>
      </c>
      <c r="C65" s="85" t="s">
        <v>73</v>
      </c>
      <c r="D65" s="103"/>
      <c r="E65" s="104"/>
      <c r="F65" s="81" t="s">
        <v>98</v>
      </c>
      <c r="G65" s="105"/>
      <c r="H65" s="106"/>
      <c r="I65" s="84">
        <v>175</v>
      </c>
    </row>
    <row r="66" spans="2:9">
      <c r="B66" s="102">
        <v>30</v>
      </c>
      <c r="C66" s="85" t="s">
        <v>74</v>
      </c>
      <c r="D66" s="103"/>
      <c r="E66" s="104"/>
      <c r="F66" s="81" t="s">
        <v>287</v>
      </c>
      <c r="G66" s="105"/>
      <c r="H66" s="106"/>
      <c r="I66" s="84">
        <v>0.95</v>
      </c>
    </row>
    <row r="67" spans="2:9">
      <c r="B67" s="102">
        <v>31</v>
      </c>
      <c r="C67" s="85" t="s">
        <v>75</v>
      </c>
      <c r="D67" s="103"/>
      <c r="E67" s="104"/>
      <c r="F67" s="81" t="s">
        <v>72</v>
      </c>
      <c r="G67" s="105"/>
      <c r="H67" s="106"/>
      <c r="I67" s="84">
        <v>165</v>
      </c>
    </row>
    <row r="68" spans="2:9">
      <c r="B68" s="102">
        <v>32</v>
      </c>
      <c r="C68" s="80" t="s">
        <v>291</v>
      </c>
      <c r="D68" s="103" t="s">
        <v>76</v>
      </c>
      <c r="E68" s="104">
        <v>36523</v>
      </c>
      <c r="F68" s="81" t="s">
        <v>287</v>
      </c>
      <c r="G68" s="123">
        <v>2600</v>
      </c>
      <c r="H68" s="106"/>
      <c r="I68" s="84">
        <v>0.6</v>
      </c>
    </row>
    <row r="69" spans="2:9">
      <c r="B69" s="102">
        <v>33</v>
      </c>
      <c r="C69" s="85" t="s">
        <v>77</v>
      </c>
      <c r="D69" s="103"/>
      <c r="E69" s="104"/>
      <c r="F69" s="81" t="s">
        <v>72</v>
      </c>
      <c r="G69" s="105"/>
      <c r="H69" s="106"/>
      <c r="I69" s="84">
        <v>0.14000000000000001</v>
      </c>
    </row>
    <row r="70" spans="2:9">
      <c r="B70" s="102">
        <v>34</v>
      </c>
      <c r="C70" s="85" t="s">
        <v>78</v>
      </c>
      <c r="D70" s="103"/>
      <c r="E70" s="104"/>
      <c r="F70" s="81" t="s">
        <v>72</v>
      </c>
      <c r="G70" s="105"/>
      <c r="H70" s="106"/>
      <c r="I70" s="124">
        <v>0.125</v>
      </c>
    </row>
    <row r="71" spans="2:9">
      <c r="B71" s="102">
        <v>35</v>
      </c>
      <c r="C71" s="85" t="s">
        <v>79</v>
      </c>
      <c r="D71" s="103"/>
      <c r="E71" s="104"/>
      <c r="F71" s="81" t="s">
        <v>72</v>
      </c>
      <c r="G71" s="105"/>
      <c r="H71" s="106"/>
      <c r="I71" s="124">
        <v>1</v>
      </c>
    </row>
    <row r="72" spans="2:9">
      <c r="B72" s="102">
        <v>36</v>
      </c>
      <c r="C72" s="85" t="s">
        <v>80</v>
      </c>
      <c r="D72" s="103"/>
      <c r="E72" s="104"/>
      <c r="F72" s="81" t="s">
        <v>290</v>
      </c>
      <c r="G72" s="105"/>
      <c r="H72" s="106"/>
      <c r="I72" s="124">
        <v>0.14499999999999999</v>
      </c>
    </row>
    <row r="73" spans="2:9">
      <c r="B73" s="102">
        <v>37</v>
      </c>
      <c r="C73" s="85" t="s">
        <v>81</v>
      </c>
      <c r="D73" s="103"/>
      <c r="E73" s="104"/>
      <c r="F73" s="81" t="s">
        <v>290</v>
      </c>
      <c r="G73" s="105"/>
      <c r="H73" s="106"/>
      <c r="I73" s="124">
        <v>0.17499999999999999</v>
      </c>
    </row>
    <row r="74" spans="2:9">
      <c r="B74" s="102">
        <v>38</v>
      </c>
      <c r="C74" s="85" t="s">
        <v>82</v>
      </c>
      <c r="D74" s="103"/>
      <c r="E74" s="104"/>
      <c r="F74" s="81" t="s">
        <v>284</v>
      </c>
      <c r="G74" s="105"/>
      <c r="H74" s="106"/>
      <c r="I74" s="84">
        <v>40</v>
      </c>
    </row>
    <row r="75" spans="2:9">
      <c r="B75" s="102">
        <v>39</v>
      </c>
      <c r="C75" s="85" t="s">
        <v>83</v>
      </c>
      <c r="D75" s="103"/>
      <c r="E75" s="104"/>
      <c r="F75" s="81" t="s">
        <v>99</v>
      </c>
      <c r="G75" s="105"/>
      <c r="H75" s="106"/>
      <c r="I75" s="84">
        <v>27</v>
      </c>
    </row>
    <row r="76" spans="2:9">
      <c r="B76" s="102">
        <v>40</v>
      </c>
      <c r="C76" s="85" t="s">
        <v>84</v>
      </c>
      <c r="D76" s="103"/>
      <c r="E76" s="104"/>
      <c r="F76" s="81" t="s">
        <v>72</v>
      </c>
      <c r="G76" s="105"/>
      <c r="H76" s="106"/>
      <c r="I76" s="84">
        <v>8.4</v>
      </c>
    </row>
    <row r="77" spans="2:9" ht="13.5" thickBot="1">
      <c r="B77" s="125">
        <v>41</v>
      </c>
      <c r="C77" s="87" t="s">
        <v>85</v>
      </c>
      <c r="D77" s="126"/>
      <c r="E77" s="127"/>
      <c r="F77" s="128" t="s">
        <v>72</v>
      </c>
      <c r="G77" s="129"/>
      <c r="H77" s="130"/>
      <c r="I77" s="89">
        <v>7.5</v>
      </c>
    </row>
    <row r="78" spans="2:9" ht="13.5" thickTop="1"/>
  </sheetData>
  <mergeCells count="8">
    <mergeCell ref="B2:I2"/>
    <mergeCell ref="F4:F5"/>
    <mergeCell ref="I4:I5"/>
    <mergeCell ref="B4:B5"/>
    <mergeCell ref="C4:C5"/>
    <mergeCell ref="D4:D5"/>
    <mergeCell ref="E4:E5"/>
    <mergeCell ref="B3:F3"/>
  </mergeCells>
  <phoneticPr fontId="43" type="noConversion"/>
  <pageMargins left="0.94488188976377963" right="0.74803149606299213" top="0.74" bottom="0.98425196850393704" header="0.51181102362204722" footer="0.51181102362204722"/>
  <pageSetup paperSize="9" scale="7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4"/>
  <sheetViews>
    <sheetView workbookViewId="0">
      <selection activeCell="A23" sqref="A23"/>
    </sheetView>
  </sheetViews>
  <sheetFormatPr defaultColWidth="9.140625" defaultRowHeight="12.75"/>
  <cols>
    <col min="1" max="2" width="9.140625" style="78"/>
    <col min="3" max="3" width="43.42578125" style="78" bestFit="1" customWidth="1"/>
    <col min="4" max="4" width="8.85546875" style="78" customWidth="1"/>
    <col min="5" max="5" width="0.140625" style="78" hidden="1" customWidth="1"/>
    <col min="6" max="6" width="12.7109375" style="78" bestFit="1" customWidth="1"/>
    <col min="7" max="16384" width="9.140625" style="78"/>
  </cols>
  <sheetData>
    <row r="1" spans="2:6" ht="13.5" thickBot="1"/>
    <row r="2" spans="2:6" ht="17.25" thickTop="1" thickBot="1">
      <c r="B2" s="1323" t="s">
        <v>8</v>
      </c>
      <c r="C2" s="1324"/>
      <c r="D2" s="1324"/>
      <c r="E2" s="1324"/>
      <c r="F2" s="1325"/>
    </row>
    <row r="3" spans="2:6" ht="20.25" customHeight="1" thickTop="1">
      <c r="B3" s="1339" t="s">
        <v>9</v>
      </c>
      <c r="C3" s="1340"/>
      <c r="D3" s="1340"/>
      <c r="E3" s="1340"/>
      <c r="F3" s="1341"/>
    </row>
    <row r="4" spans="2:6">
      <c r="B4" s="79">
        <v>1</v>
      </c>
      <c r="C4" s="80" t="s">
        <v>5</v>
      </c>
      <c r="D4" s="81" t="s">
        <v>283</v>
      </c>
      <c r="E4" s="82"/>
      <c r="F4" s="83">
        <v>30</v>
      </c>
    </row>
    <row r="5" spans="2:6">
      <c r="B5" s="79">
        <f t="shared" ref="B5:B18" si="0">B4+1</f>
        <v>2</v>
      </c>
      <c r="C5" s="80" t="s">
        <v>10</v>
      </c>
      <c r="D5" s="81" t="s">
        <v>286</v>
      </c>
      <c r="E5" s="82"/>
      <c r="F5" s="83">
        <v>5</v>
      </c>
    </row>
    <row r="6" spans="2:6">
      <c r="B6" s="79">
        <f t="shared" si="0"/>
        <v>3</v>
      </c>
      <c r="C6" s="80" t="s">
        <v>11</v>
      </c>
      <c r="D6" s="81" t="s">
        <v>288</v>
      </c>
      <c r="E6" s="82"/>
      <c r="F6" s="83">
        <v>5</v>
      </c>
    </row>
    <row r="7" spans="2:6">
      <c r="B7" s="79">
        <f t="shared" si="0"/>
        <v>4</v>
      </c>
      <c r="C7" s="80" t="s">
        <v>12</v>
      </c>
      <c r="D7" s="82" t="s">
        <v>283</v>
      </c>
      <c r="E7" s="82"/>
      <c r="F7" s="83">
        <v>12.5</v>
      </c>
    </row>
    <row r="8" spans="2:6">
      <c r="B8" s="79">
        <f t="shared" si="0"/>
        <v>5</v>
      </c>
      <c r="C8" s="80" t="s">
        <v>13</v>
      </c>
      <c r="D8" s="82" t="s">
        <v>285</v>
      </c>
      <c r="E8" s="82"/>
      <c r="F8" s="83">
        <v>3.5</v>
      </c>
    </row>
    <row r="9" spans="2:6">
      <c r="B9" s="79">
        <f t="shared" si="0"/>
        <v>6</v>
      </c>
      <c r="C9" s="80"/>
      <c r="D9" s="82"/>
      <c r="E9" s="82"/>
      <c r="F9" s="83"/>
    </row>
    <row r="10" spans="2:6">
      <c r="B10" s="79">
        <f t="shared" si="0"/>
        <v>7</v>
      </c>
      <c r="C10" s="80"/>
      <c r="D10" s="82"/>
      <c r="E10" s="82"/>
      <c r="F10" s="83"/>
    </row>
    <row r="11" spans="2:6">
      <c r="B11" s="79">
        <f t="shared" si="0"/>
        <v>8</v>
      </c>
      <c r="C11" s="80"/>
      <c r="D11" s="82"/>
      <c r="E11" s="82"/>
      <c r="F11" s="83"/>
    </row>
    <row r="12" spans="2:6">
      <c r="B12" s="79">
        <f t="shared" si="0"/>
        <v>9</v>
      </c>
      <c r="C12" s="80"/>
      <c r="D12" s="82"/>
      <c r="E12" s="82"/>
      <c r="F12" s="83"/>
    </row>
    <row r="13" spans="2:6">
      <c r="B13" s="79">
        <f t="shared" si="0"/>
        <v>10</v>
      </c>
      <c r="C13" s="80"/>
      <c r="D13" s="82"/>
      <c r="E13" s="82"/>
      <c r="F13" s="83"/>
    </row>
    <row r="14" spans="2:6">
      <c r="B14" s="79">
        <f t="shared" si="0"/>
        <v>11</v>
      </c>
      <c r="C14" s="80"/>
      <c r="D14" s="82"/>
      <c r="E14" s="82"/>
      <c r="F14" s="83"/>
    </row>
    <row r="15" spans="2:6">
      <c r="B15" s="79">
        <f t="shared" si="0"/>
        <v>12</v>
      </c>
      <c r="C15" s="80"/>
      <c r="D15" s="82"/>
      <c r="E15" s="82"/>
      <c r="F15" s="83"/>
    </row>
    <row r="16" spans="2:6">
      <c r="B16" s="79">
        <f t="shared" si="0"/>
        <v>13</v>
      </c>
      <c r="C16" s="80"/>
      <c r="D16" s="82"/>
      <c r="E16" s="82"/>
      <c r="F16" s="83"/>
    </row>
    <row r="17" spans="2:6">
      <c r="B17" s="79">
        <f t="shared" si="0"/>
        <v>14</v>
      </c>
      <c r="C17" s="80"/>
      <c r="D17" s="82"/>
      <c r="E17" s="82"/>
      <c r="F17" s="83"/>
    </row>
    <row r="18" spans="2:6">
      <c r="B18" s="79">
        <f t="shared" si="0"/>
        <v>15</v>
      </c>
      <c r="C18" s="80"/>
      <c r="D18" s="82"/>
      <c r="E18" s="82"/>
      <c r="F18" s="83"/>
    </row>
    <row r="19" spans="2:6">
      <c r="B19" s="79"/>
      <c r="C19" s="80"/>
      <c r="D19" s="82"/>
      <c r="E19" s="82"/>
      <c r="F19" s="84"/>
    </row>
    <row r="20" spans="2:6">
      <c r="B20" s="79"/>
      <c r="C20" s="80"/>
      <c r="D20" s="82"/>
      <c r="E20" s="82"/>
      <c r="F20" s="84"/>
    </row>
    <row r="21" spans="2:6">
      <c r="B21" s="79"/>
      <c r="C21" s="80"/>
      <c r="D21" s="82"/>
      <c r="E21" s="82"/>
      <c r="F21" s="84"/>
    </row>
    <row r="22" spans="2:6">
      <c r="B22" s="79"/>
      <c r="C22" s="80"/>
      <c r="D22" s="82"/>
      <c r="E22" s="82"/>
      <c r="F22" s="84"/>
    </row>
    <row r="23" spans="2:6">
      <c r="B23" s="79"/>
      <c r="C23" s="80"/>
      <c r="D23" s="82"/>
      <c r="E23" s="82"/>
      <c r="F23" s="84"/>
    </row>
    <row r="24" spans="2:6">
      <c r="B24" s="79"/>
      <c r="C24" s="80"/>
      <c r="D24" s="82"/>
      <c r="E24" s="82"/>
      <c r="F24" s="84"/>
    </row>
    <row r="25" spans="2:6">
      <c r="B25" s="79"/>
      <c r="C25" s="80"/>
      <c r="D25" s="82"/>
      <c r="E25" s="82"/>
      <c r="F25" s="84"/>
    </row>
    <row r="26" spans="2:6">
      <c r="B26" s="79">
        <f>B18+1</f>
        <v>16</v>
      </c>
      <c r="C26" s="80"/>
      <c r="D26" s="82"/>
      <c r="E26" s="82"/>
      <c r="F26" s="84"/>
    </row>
    <row r="27" spans="2:6">
      <c r="B27" s="79"/>
      <c r="C27" s="80"/>
      <c r="D27" s="82"/>
      <c r="E27" s="82"/>
      <c r="F27" s="84"/>
    </row>
    <row r="28" spans="2:6">
      <c r="B28" s="79"/>
      <c r="C28" s="80"/>
      <c r="D28" s="82"/>
      <c r="E28" s="82"/>
      <c r="F28" s="84"/>
    </row>
    <row r="29" spans="2:6">
      <c r="B29" s="79"/>
      <c r="C29" s="80"/>
      <c r="D29" s="82"/>
      <c r="E29" s="82"/>
      <c r="F29" s="84"/>
    </row>
    <row r="30" spans="2:6">
      <c r="B30" s="79"/>
      <c r="C30" s="80"/>
      <c r="D30" s="82"/>
      <c r="E30" s="82"/>
      <c r="F30" s="84"/>
    </row>
    <row r="31" spans="2:6">
      <c r="B31" s="79"/>
      <c r="C31" s="80"/>
      <c r="D31" s="82"/>
      <c r="E31" s="82"/>
      <c r="F31" s="84"/>
    </row>
    <row r="32" spans="2:6">
      <c r="B32" s="79"/>
      <c r="C32" s="80"/>
      <c r="D32" s="82"/>
      <c r="E32" s="82"/>
      <c r="F32" s="84"/>
    </row>
    <row r="33" spans="2:6">
      <c r="B33" s="79">
        <f>B26+1</f>
        <v>17</v>
      </c>
      <c r="C33" s="80"/>
      <c r="D33" s="82"/>
      <c r="E33" s="82"/>
      <c r="F33" s="84"/>
    </row>
    <row r="34" spans="2:6">
      <c r="B34" s="79">
        <f t="shared" ref="B34:B43" si="1">B33+1</f>
        <v>18</v>
      </c>
      <c r="C34" s="80"/>
      <c r="D34" s="82"/>
      <c r="E34" s="82"/>
      <c r="F34" s="84"/>
    </row>
    <row r="35" spans="2:6">
      <c r="B35" s="79">
        <f t="shared" si="1"/>
        <v>19</v>
      </c>
      <c r="C35" s="80"/>
      <c r="D35" s="82"/>
      <c r="E35" s="82"/>
      <c r="F35" s="84"/>
    </row>
    <row r="36" spans="2:6">
      <c r="B36" s="79">
        <f t="shared" si="1"/>
        <v>20</v>
      </c>
      <c r="C36" s="80"/>
      <c r="D36" s="82"/>
      <c r="E36" s="82"/>
      <c r="F36" s="84"/>
    </row>
    <row r="37" spans="2:6">
      <c r="B37" s="79">
        <f t="shared" si="1"/>
        <v>21</v>
      </c>
      <c r="C37" s="80"/>
      <c r="D37" s="82"/>
      <c r="E37" s="82"/>
      <c r="F37" s="84"/>
    </row>
    <row r="38" spans="2:6">
      <c r="B38" s="79">
        <f t="shared" si="1"/>
        <v>22</v>
      </c>
      <c r="C38" s="85"/>
      <c r="D38" s="82"/>
      <c r="E38" s="82"/>
      <c r="F38" s="84"/>
    </row>
    <row r="39" spans="2:6">
      <c r="B39" s="79">
        <f t="shared" si="1"/>
        <v>23</v>
      </c>
      <c r="C39" s="85"/>
      <c r="D39" s="82"/>
      <c r="E39" s="82"/>
      <c r="F39" s="84"/>
    </row>
    <row r="40" spans="2:6">
      <c r="B40" s="79">
        <f t="shared" si="1"/>
        <v>24</v>
      </c>
      <c r="C40" s="85"/>
      <c r="D40" s="82"/>
      <c r="E40" s="82"/>
      <c r="F40" s="84"/>
    </row>
    <row r="41" spans="2:6">
      <c r="B41" s="79">
        <f t="shared" si="1"/>
        <v>25</v>
      </c>
      <c r="C41" s="85"/>
      <c r="D41" s="82"/>
      <c r="E41" s="82"/>
      <c r="F41" s="84"/>
    </row>
    <row r="42" spans="2:6">
      <c r="B42" s="79">
        <f t="shared" si="1"/>
        <v>26</v>
      </c>
      <c r="C42" s="85"/>
      <c r="D42" s="82"/>
      <c r="E42" s="82"/>
      <c r="F42" s="84"/>
    </row>
    <row r="43" spans="2:6" ht="13.5" thickBot="1">
      <c r="B43" s="86">
        <f t="shared" si="1"/>
        <v>27</v>
      </c>
      <c r="C43" s="87"/>
      <c r="D43" s="88"/>
      <c r="E43" s="88"/>
      <c r="F43" s="89"/>
    </row>
    <row r="44" spans="2:6" ht="13.5" thickTop="1"/>
  </sheetData>
  <mergeCells count="2">
    <mergeCell ref="B2:F2"/>
    <mergeCell ref="B3:F3"/>
  </mergeCells>
  <phoneticPr fontId="43" type="noConversion"/>
  <pageMargins left="0.94488188976377963" right="0.74803149606299213" top="0.7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PROJE OZET BILGILERI</vt:lpstr>
      <vt:lpstr>ASSISTING ANALYSES </vt:lpstr>
      <vt:lpstr>MANPOWER</vt:lpstr>
      <vt:lpstr>reinforcement</vt:lpstr>
      <vt:lpstr>Sheet1</vt:lpstr>
      <vt:lpstr>fw</vt:lpstr>
      <vt:lpstr>EQUIPMENT &amp; PLANT RATES</vt:lpstr>
      <vt:lpstr>MATERIAL PRICE LIST</vt:lpstr>
      <vt:lpstr>LABOURSHIP RATES</vt:lpstr>
      <vt:lpstr>Calculation</vt:lpstr>
      <vt:lpstr>GENERAL EXPENSES (2)</vt:lpstr>
      <vt:lpstr>BOQ</vt:lpstr>
      <vt:lpstr>summary sheet</vt:lpstr>
      <vt:lpstr>LABOUR UNIT COST</vt:lpstr>
      <vt:lpstr>List Of Suppliers</vt:lpstr>
      <vt:lpstr>Sheet2</vt:lpstr>
      <vt:lpstr>BOQ!Print_Area</vt:lpstr>
      <vt:lpstr>fw!Print_Area</vt:lpstr>
      <vt:lpstr>'GENERAL EXPENSES (2)'!Print_Area</vt:lpstr>
      <vt:lpstr>'MATERIAL PRICE LIST'!Print_Area</vt:lpstr>
      <vt:lpstr>'summary sheet'!Print_Area</vt:lpstr>
      <vt:lpstr>reinforcement!Print_Titles</vt:lpstr>
    </vt:vector>
  </TitlesOfParts>
  <Company>BCC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Eng. Mohamed Abdi</dc:creator>
  <cp:lastModifiedBy>LENOVO</cp:lastModifiedBy>
  <cp:lastPrinted>2019-11-10T11:17:30Z</cp:lastPrinted>
  <dcterms:created xsi:type="dcterms:W3CDTF">2005-06-22T16:21:34Z</dcterms:created>
  <dcterms:modified xsi:type="dcterms:W3CDTF">2019-11-17T09:12:11Z</dcterms:modified>
</cp:coreProperties>
</file>