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bdmohamed\Desktop\KFTC Construction\Re-advertisement\"/>
    </mc:Choice>
  </mc:AlternateContent>
  <bookViews>
    <workbookView xWindow="0" yWindow="0" windowWidth="19200" windowHeight="7310" tabRatio="756" firstSheet="16" activeTab="20"/>
  </bookViews>
  <sheets>
    <sheet name="1 Preliminaries" sheetId="8" r:id="rId1"/>
    <sheet name="MAIN BLOCK" sheetId="29" state="hidden" r:id="rId2"/>
    <sheet name="2. 2No. Vocational Training" sheetId="34" r:id="rId3"/>
    <sheet name="3. Counseling &amp; Prayer Hall" sheetId="58" r:id="rId4"/>
    <sheet name="4 Library and Literacy Centre" sheetId="75" r:id="rId5"/>
    <sheet name="Sheet1" sheetId="33" state="hidden" r:id="rId6"/>
    <sheet name="5 IOM OFFICES" sheetId="80" r:id="rId7"/>
    <sheet name="6 Medical Exam and Partners " sheetId="77" r:id="rId8"/>
    <sheet name="7 Kitchen" sheetId="78" r:id="rId9"/>
    <sheet name="8 DINING" sheetId="79" r:id="rId10"/>
    <sheet name="9 4No. Watch Towers " sheetId="66" r:id="rId11"/>
    <sheet name="10. Septic Tank" sheetId="69" r:id="rId12"/>
    <sheet name="11. Staff Toilets" sheetId="68" r:id="rId13"/>
    <sheet name="13. Security Fence" sheetId="30" r:id="rId14"/>
    <sheet name="14 External Works" sheetId="70" r:id="rId15"/>
    <sheet name="15 WATER TANK  TOWER" sheetId="71" r:id="rId16"/>
    <sheet name="16 STREET LIGHTS" sheetId="83" r:id="rId17"/>
    <sheet name="17 ACCOMMODATION" sheetId="81" r:id="rId18"/>
    <sheet name="19 Security house" sheetId="65" r:id="rId19"/>
    <sheet name="20 TOILET AND SHOWERS" sheetId="82" r:id="rId20"/>
    <sheet name="Grand summary" sheetId="17" r:id="rId21"/>
  </sheets>
  <definedNames>
    <definedName name="_xlnm.Print_Area" localSheetId="0">'1 Preliminaries'!$A$1:$C$119</definedName>
    <definedName name="_xlnm.Print_Area" localSheetId="12">'11. Staff Toilets'!$A$1:$F$195</definedName>
    <definedName name="_xlnm.Print_Area" localSheetId="13">'13. Security Fence'!$A:$F</definedName>
    <definedName name="_xlnm.Print_Area" localSheetId="14">'14 External Works'!$A$1:$F$56</definedName>
    <definedName name="_xlnm.Print_Area" localSheetId="15">'15 WATER TANK  TOWER'!$A$1:$F$111</definedName>
    <definedName name="_xlnm.Print_Area" localSheetId="17">'17 ACCOMMODATION'!$A$1:$F$192</definedName>
    <definedName name="_xlnm.Print_Area" localSheetId="18">'19 Security house'!$A$1:$F$120</definedName>
    <definedName name="_xlnm.Print_Area" localSheetId="2">'2. 2No. Vocational Training'!$A$1:$F$202</definedName>
    <definedName name="_xlnm.Print_Area" localSheetId="19">'20 TOILET AND SHOWERS'!$A:$F</definedName>
    <definedName name="_xlnm.Print_Area" localSheetId="3">'3. Counseling &amp; Prayer Hall'!$A$1:$F$222</definedName>
    <definedName name="_xlnm.Print_Area" localSheetId="4">'4 Library and Literacy Centre'!$A$1:$F$219</definedName>
    <definedName name="_xlnm.Print_Area" localSheetId="6">'5 IOM OFFICES'!$A$1:$F$206</definedName>
    <definedName name="_xlnm.Print_Area" localSheetId="7">'6 Medical Exam and Partners '!$A$1:$F$214</definedName>
    <definedName name="_xlnm.Print_Area" localSheetId="8">'7 Kitchen'!$A$1:$F$266</definedName>
    <definedName name="_xlnm.Print_Area" localSheetId="9">'8 DINING'!$A$1:$F$197</definedName>
    <definedName name="_xlnm.Print_Area" localSheetId="20">'Grand summary'!$A$1:$C$68</definedName>
  </definedNames>
  <calcPr calcId="152511"/>
</workbook>
</file>

<file path=xl/calcChain.xml><?xml version="1.0" encoding="utf-8"?>
<calcChain xmlns="http://schemas.openxmlformats.org/spreadsheetml/2006/main">
  <c r="F7" i="70" l="1"/>
  <c r="B117" i="65" l="1"/>
  <c r="B115" i="65"/>
  <c r="B113" i="65"/>
  <c r="B111" i="65"/>
  <c r="B109" i="65"/>
  <c r="B107" i="65"/>
  <c r="B105" i="65"/>
  <c r="B103" i="65"/>
  <c r="F68" i="65"/>
  <c r="F90" i="34"/>
  <c r="D13" i="83"/>
  <c r="D14" i="83" s="1"/>
  <c r="F14" i="83" s="1"/>
  <c r="F12" i="83"/>
  <c r="F13" i="83" l="1"/>
  <c r="F16" i="83" s="1"/>
  <c r="C33" i="17" s="1"/>
  <c r="F187" i="82" l="1"/>
  <c r="F186" i="82"/>
  <c r="D64" i="82"/>
  <c r="D62" i="82"/>
  <c r="F62" i="82" s="1"/>
  <c r="D56" i="82"/>
  <c r="D53" i="82"/>
  <c r="F53" i="82" s="1"/>
  <c r="D52" i="82"/>
  <c r="F52" i="82" s="1"/>
  <c r="B220" i="82"/>
  <c r="B218" i="82"/>
  <c r="B216" i="82"/>
  <c r="B214" i="82"/>
  <c r="B212" i="82"/>
  <c r="B210" i="82"/>
  <c r="B208" i="82"/>
  <c r="B206" i="82"/>
  <c r="B204" i="82"/>
  <c r="F185" i="82"/>
  <c r="F184" i="82"/>
  <c r="D183" i="82"/>
  <c r="F183" i="82" s="1"/>
  <c r="D182" i="82"/>
  <c r="F182" i="82" s="1"/>
  <c r="D181" i="82"/>
  <c r="F181" i="82" s="1"/>
  <c r="D180" i="82"/>
  <c r="F180" i="82" s="1"/>
  <c r="D179" i="82"/>
  <c r="F179" i="82" s="1"/>
  <c r="D178" i="82"/>
  <c r="F178" i="82" s="1"/>
  <c r="F177" i="82"/>
  <c r="F165" i="82"/>
  <c r="F164" i="82"/>
  <c r="F163" i="82"/>
  <c r="F162" i="82"/>
  <c r="F161" i="82"/>
  <c r="F160" i="82"/>
  <c r="F159" i="82"/>
  <c r="F158" i="82"/>
  <c r="F157" i="82"/>
  <c r="F156" i="82"/>
  <c r="F155" i="82"/>
  <c r="F153" i="82"/>
  <c r="F152" i="82"/>
  <c r="F151" i="82"/>
  <c r="F150" i="82"/>
  <c r="F149" i="82"/>
  <c r="F148" i="82"/>
  <c r="F146" i="82"/>
  <c r="F145" i="82"/>
  <c r="F144" i="82"/>
  <c r="F143" i="82"/>
  <c r="F138" i="82"/>
  <c r="F137" i="82"/>
  <c r="F136" i="82"/>
  <c r="F134" i="82"/>
  <c r="F132" i="82"/>
  <c r="D129" i="82"/>
  <c r="F129" i="82" s="1"/>
  <c r="F122" i="82"/>
  <c r="F121" i="82"/>
  <c r="F120" i="82"/>
  <c r="F119" i="82"/>
  <c r="F118" i="82"/>
  <c r="D117" i="82"/>
  <c r="F117" i="82" s="1"/>
  <c r="F116" i="82"/>
  <c r="F115" i="82"/>
  <c r="F114" i="82"/>
  <c r="F113" i="82"/>
  <c r="F112" i="82"/>
  <c r="F91" i="82"/>
  <c r="F89" i="82"/>
  <c r="F87" i="82"/>
  <c r="F84" i="82"/>
  <c r="F82" i="82"/>
  <c r="F80" i="82"/>
  <c r="F79" i="82"/>
  <c r="D76" i="82"/>
  <c r="F76" i="82" s="1"/>
  <c r="D74" i="82"/>
  <c r="F74" i="82" s="1"/>
  <c r="F70" i="82"/>
  <c r="D69" i="82"/>
  <c r="D73" i="82" s="1"/>
  <c r="F73" i="82" s="1"/>
  <c r="F66" i="82"/>
  <c r="F65" i="82"/>
  <c r="F64" i="82"/>
  <c r="F63" i="82"/>
  <c r="F61" i="82"/>
  <c r="F56" i="82"/>
  <c r="F54" i="82"/>
  <c r="F43" i="82"/>
  <c r="F40" i="82"/>
  <c r="F39" i="82"/>
  <c r="F36" i="82"/>
  <c r="F24" i="82"/>
  <c r="F21" i="82"/>
  <c r="F18" i="82"/>
  <c r="D17" i="82"/>
  <c r="F17" i="82" s="1"/>
  <c r="F16" i="82"/>
  <c r="F14" i="82"/>
  <c r="F12" i="82"/>
  <c r="D10" i="82"/>
  <c r="D11" i="82" s="1"/>
  <c r="D8" i="82"/>
  <c r="F8" i="82" s="1"/>
  <c r="F7" i="82"/>
  <c r="D6" i="82"/>
  <c r="F6" i="82" s="1"/>
  <c r="F5" i="82"/>
  <c r="B193" i="68"/>
  <c r="B191" i="68"/>
  <c r="B189" i="68"/>
  <c r="B187" i="68"/>
  <c r="B185" i="68"/>
  <c r="F96" i="68"/>
  <c r="D94" i="68"/>
  <c r="F84" i="68"/>
  <c r="B183" i="68"/>
  <c r="B181" i="68"/>
  <c r="B179" i="68"/>
  <c r="B177" i="68"/>
  <c r="F51" i="68"/>
  <c r="D53" i="68"/>
  <c r="F53" i="68" s="1"/>
  <c r="F40" i="68"/>
  <c r="F33" i="68"/>
  <c r="F50" i="68"/>
  <c r="F49" i="68"/>
  <c r="F37" i="68"/>
  <c r="F36" i="68"/>
  <c r="D17" i="68"/>
  <c r="D8" i="68"/>
  <c r="D7" i="68"/>
  <c r="D5" i="68"/>
  <c r="B215" i="58"/>
  <c r="B213" i="58"/>
  <c r="F190" i="58"/>
  <c r="F189" i="58"/>
  <c r="F188" i="58"/>
  <c r="F187" i="58"/>
  <c r="F184" i="58"/>
  <c r="F213" i="58" s="1"/>
  <c r="D97" i="82" l="1"/>
  <c r="F97" i="82" s="1"/>
  <c r="D99" i="82"/>
  <c r="F99" i="82" s="1"/>
  <c r="F191" i="82"/>
  <c r="F220" i="82" s="1"/>
  <c r="F166" i="82"/>
  <c r="F218" i="82" s="1"/>
  <c r="F123" i="82"/>
  <c r="F216" i="82" s="1"/>
  <c r="F85" i="82"/>
  <c r="F212" i="82" s="1"/>
  <c r="F57" i="82"/>
  <c r="F208" i="82" s="1"/>
  <c r="F44" i="82"/>
  <c r="F206" i="82" s="1"/>
  <c r="F10" i="82"/>
  <c r="D13" i="82"/>
  <c r="F11" i="82"/>
  <c r="F69" i="82"/>
  <c r="F77" i="82" s="1"/>
  <c r="F210" i="82" s="1"/>
  <c r="F94" i="68"/>
  <c r="F54" i="68"/>
  <c r="F181" i="68" s="1"/>
  <c r="F41" i="68"/>
  <c r="F179" i="68" s="1"/>
  <c r="F191" i="58"/>
  <c r="F215" i="58" s="1"/>
  <c r="D15" i="82" l="1"/>
  <c r="D22" i="82" s="1"/>
  <c r="F13" i="82"/>
  <c r="D19" i="82" l="1"/>
  <c r="F15" i="82"/>
  <c r="F22" i="82"/>
  <c r="F19" i="82" l="1"/>
  <c r="D25" i="82"/>
  <c r="F25" i="82" l="1"/>
  <c r="F30" i="82" s="1"/>
  <c r="F204" i="82" s="1"/>
  <c r="D90" i="82"/>
  <c r="D92" i="82" l="1"/>
  <c r="F92" i="82" s="1"/>
  <c r="F90" i="82"/>
  <c r="F109" i="82" l="1"/>
  <c r="F214" i="82" s="1"/>
  <c r="F222" i="82" s="1"/>
  <c r="C39" i="17" s="1"/>
  <c r="B180" i="81" l="1"/>
  <c r="B179" i="81"/>
  <c r="B178" i="81"/>
  <c r="B177" i="81"/>
  <c r="B176" i="81"/>
  <c r="B175" i="81"/>
  <c r="B174" i="81"/>
  <c r="B173" i="81"/>
  <c r="B172" i="81"/>
  <c r="F161" i="81"/>
  <c r="F160" i="81"/>
  <c r="F159" i="81"/>
  <c r="F154" i="81"/>
  <c r="D153" i="81"/>
  <c r="D156" i="81" s="1"/>
  <c r="F156" i="81" s="1"/>
  <c r="D150" i="81"/>
  <c r="F150" i="81" s="1"/>
  <c r="D147" i="81"/>
  <c r="D148" i="81" s="1"/>
  <c r="F148" i="81" s="1"/>
  <c r="D146" i="81"/>
  <c r="F146" i="81" s="1"/>
  <c r="F142" i="81"/>
  <c r="F141" i="81"/>
  <c r="F140" i="81"/>
  <c r="F139" i="81"/>
  <c r="F138" i="81"/>
  <c r="F135" i="81"/>
  <c r="F132" i="81"/>
  <c r="D131" i="81"/>
  <c r="F131" i="81" s="1"/>
  <c r="F130" i="81"/>
  <c r="F129" i="81"/>
  <c r="F115" i="81"/>
  <c r="F103" i="81"/>
  <c r="F104" i="81" s="1"/>
  <c r="F177" i="81" s="1"/>
  <c r="F100" i="81"/>
  <c r="D98" i="81"/>
  <c r="F98" i="81" s="1"/>
  <c r="D97" i="81"/>
  <c r="F97" i="81" s="1"/>
  <c r="F96" i="81"/>
  <c r="D91" i="81"/>
  <c r="D92" i="81" s="1"/>
  <c r="F90" i="81"/>
  <c r="F89" i="81"/>
  <c r="F88" i="81"/>
  <c r="D82" i="81"/>
  <c r="F82" i="81" s="1"/>
  <c r="F81" i="81"/>
  <c r="D80" i="81"/>
  <c r="F80" i="81" s="1"/>
  <c r="D75" i="81"/>
  <c r="F75" i="81" s="1"/>
  <c r="D70" i="81"/>
  <c r="D76" i="81" s="1"/>
  <c r="D78" i="81" s="1"/>
  <c r="F69" i="81"/>
  <c r="F66" i="81"/>
  <c r="F65" i="81"/>
  <c r="F64" i="81"/>
  <c r="F63" i="81"/>
  <c r="F62" i="81"/>
  <c r="F61" i="81"/>
  <c r="D60" i="81"/>
  <c r="F60" i="81" s="1"/>
  <c r="D55" i="81"/>
  <c r="F55" i="81" s="1"/>
  <c r="D54" i="81"/>
  <c r="F54" i="81" s="1"/>
  <c r="D52" i="81"/>
  <c r="F52" i="81" s="1"/>
  <c r="D51" i="81"/>
  <c r="F51" i="81" s="1"/>
  <c r="F45" i="81"/>
  <c r="D43" i="81"/>
  <c r="F43" i="81" s="1"/>
  <c r="D42" i="81"/>
  <c r="F42" i="81" s="1"/>
  <c r="D41" i="81"/>
  <c r="D38" i="81"/>
  <c r="F38" i="81" s="1"/>
  <c r="F37" i="81"/>
  <c r="D36" i="81"/>
  <c r="F36" i="81" s="1"/>
  <c r="D31" i="81"/>
  <c r="F31" i="81" s="1"/>
  <c r="D30" i="81"/>
  <c r="F30" i="81" s="1"/>
  <c r="F28" i="81"/>
  <c r="D25" i="81"/>
  <c r="F25" i="81" s="1"/>
  <c r="D24" i="81"/>
  <c r="F24" i="81" s="1"/>
  <c r="D23" i="81"/>
  <c r="F23" i="81" s="1"/>
  <c r="F21" i="81"/>
  <c r="F20" i="81"/>
  <c r="F19" i="81"/>
  <c r="F17" i="81"/>
  <c r="F15" i="81"/>
  <c r="D11" i="81"/>
  <c r="F11" i="81" s="1"/>
  <c r="D10" i="81"/>
  <c r="F10" i="81" s="1"/>
  <c r="D8" i="81"/>
  <c r="D9" i="81" s="1"/>
  <c r="F56" i="81" l="1"/>
  <c r="F143" i="81"/>
  <c r="F179" i="81" s="1"/>
  <c r="F41" i="81"/>
  <c r="F153" i="81"/>
  <c r="F70" i="81"/>
  <c r="F147" i="81"/>
  <c r="F9" i="81"/>
  <c r="D13" i="81"/>
  <c r="F92" i="81"/>
  <c r="D93" i="81"/>
  <c r="F93" i="81" s="1"/>
  <c r="F174" i="81"/>
  <c r="F78" i="81"/>
  <c r="D84" i="81"/>
  <c r="F8" i="81"/>
  <c r="D149" i="81"/>
  <c r="D109" i="81"/>
  <c r="F76" i="81"/>
  <c r="F91" i="81"/>
  <c r="F101" i="81" s="1"/>
  <c r="D110" i="81"/>
  <c r="D152" i="81"/>
  <c r="F152" i="81" s="1"/>
  <c r="B259" i="78"/>
  <c r="B257" i="78"/>
  <c r="B255" i="78"/>
  <c r="B253" i="78"/>
  <c r="B251" i="78"/>
  <c r="B249" i="78"/>
  <c r="B247" i="78"/>
  <c r="B245" i="78"/>
  <c r="B243" i="78"/>
  <c r="B241" i="78"/>
  <c r="F28" i="79"/>
  <c r="F27" i="79"/>
  <c r="F9" i="78"/>
  <c r="F8" i="79"/>
  <c r="F152" i="58"/>
  <c r="F143" i="58"/>
  <c r="F142" i="58"/>
  <c r="D141" i="58"/>
  <c r="F141" i="58" s="1"/>
  <c r="D138" i="58"/>
  <c r="D150" i="58" s="1"/>
  <c r="F137" i="58"/>
  <c r="F71" i="58"/>
  <c r="F69" i="58"/>
  <c r="F68" i="58"/>
  <c r="D59" i="58"/>
  <c r="F59" i="58" s="1"/>
  <c r="F58" i="58"/>
  <c r="F56" i="58"/>
  <c r="F55" i="58"/>
  <c r="F51" i="58"/>
  <c r="F38" i="58"/>
  <c r="D37" i="58"/>
  <c r="F37" i="58" s="1"/>
  <c r="F35" i="58"/>
  <c r="F34" i="58"/>
  <c r="F30" i="58"/>
  <c r="F29" i="58"/>
  <c r="F27" i="58"/>
  <c r="F26" i="58"/>
  <c r="F23" i="58"/>
  <c r="F24" i="58"/>
  <c r="F20" i="58"/>
  <c r="F18" i="58"/>
  <c r="F9" i="58"/>
  <c r="F133" i="77"/>
  <c r="F132" i="77"/>
  <c r="D128" i="77"/>
  <c r="D140" i="77" s="1"/>
  <c r="F127" i="77"/>
  <c r="F71" i="77"/>
  <c r="F69" i="77"/>
  <c r="F68" i="77"/>
  <c r="F58" i="77"/>
  <c r="F56" i="77"/>
  <c r="F55" i="77"/>
  <c r="F51" i="77"/>
  <c r="F45" i="77"/>
  <c r="F43" i="77"/>
  <c r="D42" i="77"/>
  <c r="F42" i="77" s="1"/>
  <c r="F40" i="77"/>
  <c r="F39" i="77"/>
  <c r="F29" i="77"/>
  <c r="F28" i="77"/>
  <c r="F26" i="77"/>
  <c r="F25" i="77"/>
  <c r="F22" i="77"/>
  <c r="F23" i="77"/>
  <c r="F19" i="77"/>
  <c r="F9" i="77"/>
  <c r="F173" i="81" l="1"/>
  <c r="F46" i="81"/>
  <c r="F72" i="58"/>
  <c r="D14" i="81"/>
  <c r="F13" i="81"/>
  <c r="D122" i="81"/>
  <c r="F122" i="81" s="1"/>
  <c r="F110" i="81"/>
  <c r="F176" i="81"/>
  <c r="D85" i="81"/>
  <c r="F85" i="81" s="1"/>
  <c r="F84" i="81"/>
  <c r="F86" i="81" s="1"/>
  <c r="D119" i="81"/>
  <c r="F119" i="81" s="1"/>
  <c r="F109" i="81"/>
  <c r="D151" i="81"/>
  <c r="F151" i="81" s="1"/>
  <c r="F149" i="81"/>
  <c r="F162" i="81" s="1"/>
  <c r="F199" i="58"/>
  <c r="F150" i="58"/>
  <c r="F138" i="58"/>
  <c r="F140" i="77"/>
  <c r="F128" i="77"/>
  <c r="D137" i="77"/>
  <c r="F137" i="77" s="1"/>
  <c r="F125" i="77"/>
  <c r="F77" i="77"/>
  <c r="F197" i="77" s="1"/>
  <c r="D132" i="75"/>
  <c r="F132" i="75" s="1"/>
  <c r="F69" i="75"/>
  <c r="F72" i="75" s="1"/>
  <c r="F188" i="75" s="1"/>
  <c r="F67" i="75"/>
  <c r="F66" i="75"/>
  <c r="F134" i="75"/>
  <c r="F133" i="75"/>
  <c r="D141" i="75"/>
  <c r="F128" i="75"/>
  <c r="D57" i="75"/>
  <c r="F57" i="75" s="1"/>
  <c r="F56" i="75"/>
  <c r="F54" i="75"/>
  <c r="F53" i="75"/>
  <c r="F49" i="75"/>
  <c r="F32" i="75"/>
  <c r="F31" i="75"/>
  <c r="F21" i="75"/>
  <c r="F11" i="75"/>
  <c r="F10" i="75"/>
  <c r="F9" i="75"/>
  <c r="F168" i="80"/>
  <c r="B198" i="80"/>
  <c r="B196" i="80"/>
  <c r="B194" i="80"/>
  <c r="B192" i="80"/>
  <c r="B190" i="80"/>
  <c r="B188" i="80"/>
  <c r="B186" i="80"/>
  <c r="B184" i="80"/>
  <c r="B182" i="80"/>
  <c r="B180" i="80"/>
  <c r="F173" i="80"/>
  <c r="F198" i="80" s="1"/>
  <c r="F164" i="80"/>
  <c r="F169" i="80" s="1"/>
  <c r="F196" i="80" s="1"/>
  <c r="F163" i="80"/>
  <c r="F159" i="80"/>
  <c r="F158" i="80"/>
  <c r="F157" i="80"/>
  <c r="F156" i="80"/>
  <c r="F151" i="80"/>
  <c r="F150" i="80"/>
  <c r="F149" i="80"/>
  <c r="F148" i="80"/>
  <c r="F147" i="80"/>
  <c r="F146" i="80"/>
  <c r="F145" i="80"/>
  <c r="F144" i="80"/>
  <c r="F135" i="80"/>
  <c r="F134" i="80"/>
  <c r="F129" i="80"/>
  <c r="D127" i="80"/>
  <c r="F121" i="80"/>
  <c r="F122" i="80" s="1"/>
  <c r="F190" i="80" s="1"/>
  <c r="F118" i="80"/>
  <c r="D116" i="80"/>
  <c r="F116" i="80" s="1"/>
  <c r="D115" i="80"/>
  <c r="F115" i="80" s="1"/>
  <c r="D114" i="80"/>
  <c r="F114" i="80" s="1"/>
  <c r="D107" i="80"/>
  <c r="F107" i="80" s="1"/>
  <c r="F106" i="80"/>
  <c r="F105" i="80"/>
  <c r="F104" i="80"/>
  <c r="F103" i="80"/>
  <c r="D98" i="80"/>
  <c r="F98" i="80" s="1"/>
  <c r="F97" i="80"/>
  <c r="F96" i="80"/>
  <c r="D94" i="80"/>
  <c r="D100" i="80" s="1"/>
  <c r="F92" i="80"/>
  <c r="D91" i="80"/>
  <c r="F91" i="80" s="1"/>
  <c r="F90" i="80"/>
  <c r="F88" i="80"/>
  <c r="F87" i="80"/>
  <c r="F86" i="80"/>
  <c r="F85" i="80"/>
  <c r="D84" i="80"/>
  <c r="F84" i="80" s="1"/>
  <c r="D83" i="80"/>
  <c r="F83" i="80" s="1"/>
  <c r="D82" i="80"/>
  <c r="F82" i="80" s="1"/>
  <c r="F74" i="80"/>
  <c r="F72" i="80"/>
  <c r="F71" i="80"/>
  <c r="F61" i="80"/>
  <c r="F59" i="80"/>
  <c r="F58" i="80"/>
  <c r="F54" i="80"/>
  <c r="F47" i="80"/>
  <c r="F45" i="80"/>
  <c r="D44" i="80"/>
  <c r="F44" i="80" s="1"/>
  <c r="F42" i="80"/>
  <c r="F41" i="80"/>
  <c r="F32" i="80"/>
  <c r="F31" i="80"/>
  <c r="F29" i="80"/>
  <c r="F28" i="80"/>
  <c r="F25" i="80"/>
  <c r="F26" i="80"/>
  <c r="F22" i="80"/>
  <c r="F21" i="80"/>
  <c r="F20" i="80"/>
  <c r="F18" i="80"/>
  <c r="F16" i="80"/>
  <c r="F11" i="80"/>
  <c r="F10" i="80"/>
  <c r="F9" i="80"/>
  <c r="F8" i="80"/>
  <c r="D7" i="80"/>
  <c r="F7" i="80" s="1"/>
  <c r="F6" i="80"/>
  <c r="F5" i="80"/>
  <c r="B2" i="80"/>
  <c r="F37" i="34"/>
  <c r="F31" i="34"/>
  <c r="F32" i="34"/>
  <c r="F152" i="80" l="1"/>
  <c r="F154" i="80" s="1"/>
  <c r="F160" i="80" s="1"/>
  <c r="F180" i="81"/>
  <c r="F175" i="81"/>
  <c r="D16" i="81"/>
  <c r="F14" i="81"/>
  <c r="D126" i="75"/>
  <c r="F141" i="75"/>
  <c r="F129" i="75"/>
  <c r="D14" i="80"/>
  <c r="D15" i="80" s="1"/>
  <c r="D133" i="80" s="1"/>
  <c r="F133" i="80" s="1"/>
  <c r="D139" i="80"/>
  <c r="F139" i="80" s="1"/>
  <c r="F94" i="80"/>
  <c r="F77" i="80"/>
  <c r="F184" i="80" s="1"/>
  <c r="F100" i="80"/>
  <c r="D101" i="80"/>
  <c r="F101" i="80" s="1"/>
  <c r="D108" i="80"/>
  <c r="F108" i="80" s="1"/>
  <c r="F127" i="80"/>
  <c r="F16" i="81" l="1"/>
  <c r="D18" i="81"/>
  <c r="F126" i="75"/>
  <c r="F142" i="75" s="1"/>
  <c r="F196" i="75" s="1"/>
  <c r="D138" i="75"/>
  <c r="F138" i="75" s="1"/>
  <c r="F102" i="80"/>
  <c r="F186" i="80" s="1"/>
  <c r="F111" i="80"/>
  <c r="F113" i="80" s="1"/>
  <c r="F119" i="80" s="1"/>
  <c r="F188" i="80" s="1"/>
  <c r="F15" i="80"/>
  <c r="D17" i="80"/>
  <c r="D19" i="80" s="1"/>
  <c r="F14" i="80"/>
  <c r="F194" i="80"/>
  <c r="F17" i="80" l="1"/>
  <c r="D26" i="81"/>
  <c r="F18" i="81"/>
  <c r="D29" i="81"/>
  <c r="F29" i="81" s="1"/>
  <c r="D114" i="81"/>
  <c r="F114" i="81" s="1"/>
  <c r="D62" i="80"/>
  <c r="D39" i="80"/>
  <c r="F19" i="80"/>
  <c r="F35" i="80" s="1"/>
  <c r="F37" i="80" s="1"/>
  <c r="D111" i="81" l="1"/>
  <c r="F26" i="81"/>
  <c r="F62" i="80"/>
  <c r="D130" i="80"/>
  <c r="D55" i="80"/>
  <c r="F55" i="80" s="1"/>
  <c r="F63" i="80" s="1"/>
  <c r="F182" i="80" s="1"/>
  <c r="F39" i="80"/>
  <c r="D43" i="80"/>
  <c r="F43" i="80" s="1"/>
  <c r="F48" i="80" s="1"/>
  <c r="F32" i="81" l="1"/>
  <c r="F172" i="81" s="1"/>
  <c r="D123" i="81"/>
  <c r="F123" i="81" s="1"/>
  <c r="F111" i="81"/>
  <c r="F180" i="80"/>
  <c r="D142" i="80"/>
  <c r="F142" i="80" s="1"/>
  <c r="F130" i="80"/>
  <c r="F124" i="81" l="1"/>
  <c r="F178" i="81" s="1"/>
  <c r="F189" i="81" s="1"/>
  <c r="F143" i="80"/>
  <c r="F192" i="80" s="1"/>
  <c r="F202" i="80" s="1"/>
  <c r="C11" i="17" l="1"/>
  <c r="F191" i="81"/>
  <c r="C35" i="17" s="1"/>
  <c r="F11" i="34"/>
  <c r="F10" i="34"/>
  <c r="F9" i="34"/>
  <c r="B190" i="79" l="1"/>
  <c r="F192" i="79"/>
  <c r="F156" i="79"/>
  <c r="F153" i="79"/>
  <c r="F152" i="79"/>
  <c r="F157" i="79" l="1"/>
  <c r="F190" i="79" s="1"/>
  <c r="F236" i="78"/>
  <c r="B209" i="77"/>
  <c r="F211" i="77"/>
  <c r="F177" i="77"/>
  <c r="F177" i="75"/>
  <c r="F202" i="75" s="1"/>
  <c r="B200" i="75"/>
  <c r="F171" i="75"/>
  <c r="F168" i="75"/>
  <c r="F167" i="75"/>
  <c r="B211" i="58"/>
  <c r="F176" i="58"/>
  <c r="B192" i="34"/>
  <c r="B190" i="34"/>
  <c r="B188" i="34"/>
  <c r="B186" i="34"/>
  <c r="B184" i="34"/>
  <c r="B182" i="34"/>
  <c r="B180" i="34"/>
  <c r="B178" i="34"/>
  <c r="B176" i="34"/>
  <c r="B174" i="34"/>
  <c r="F162" i="34"/>
  <c r="F192" i="34" s="1"/>
  <c r="F131" i="34"/>
  <c r="F22" i="79"/>
  <c r="F21" i="79"/>
  <c r="F172" i="75" l="1"/>
  <c r="F200" i="75" s="1"/>
  <c r="F148" i="79"/>
  <c r="F147" i="79"/>
  <c r="F146" i="79"/>
  <c r="F140" i="79"/>
  <c r="F139" i="79"/>
  <c r="F138" i="79"/>
  <c r="F137" i="79"/>
  <c r="F136" i="79"/>
  <c r="F135" i="79"/>
  <c r="F134" i="79"/>
  <c r="F133" i="79"/>
  <c r="F131" i="79"/>
  <c r="F121" i="79"/>
  <c r="D128" i="79"/>
  <c r="F120" i="79"/>
  <c r="F116" i="79"/>
  <c r="D114" i="79"/>
  <c r="D125" i="79" s="1"/>
  <c r="F106" i="79"/>
  <c r="F109" i="79" s="1"/>
  <c r="F184" i="79" s="1"/>
  <c r="F103" i="79"/>
  <c r="F101" i="79"/>
  <c r="D100" i="79"/>
  <c r="F100" i="79" s="1"/>
  <c r="F99" i="79"/>
  <c r="D95" i="79"/>
  <c r="F95" i="79" s="1"/>
  <c r="F94" i="79"/>
  <c r="F93" i="79"/>
  <c r="F92" i="79"/>
  <c r="F91" i="79"/>
  <c r="F90" i="79"/>
  <c r="D85" i="79"/>
  <c r="F85" i="79" s="1"/>
  <c r="F84" i="79"/>
  <c r="F83" i="79"/>
  <c r="D81" i="79"/>
  <c r="D87" i="79" s="1"/>
  <c r="F74" i="79"/>
  <c r="D73" i="79"/>
  <c r="F73" i="79" s="1"/>
  <c r="F72" i="79"/>
  <c r="F70" i="79"/>
  <c r="F69" i="79"/>
  <c r="F68" i="79"/>
  <c r="F67" i="79"/>
  <c r="D66" i="79"/>
  <c r="F66" i="79" s="1"/>
  <c r="D65" i="79"/>
  <c r="F65" i="79" s="1"/>
  <c r="D64" i="79"/>
  <c r="F64" i="79" s="1"/>
  <c r="F59" i="79"/>
  <c r="F57" i="79"/>
  <c r="F56" i="79"/>
  <c r="F44" i="79"/>
  <c r="F43" i="79"/>
  <c r="D33" i="79"/>
  <c r="D34" i="79" s="1"/>
  <c r="F34" i="79" s="1"/>
  <c r="F25" i="79"/>
  <c r="F24" i="79"/>
  <c r="F18" i="79"/>
  <c r="F17" i="79"/>
  <c r="F16" i="79"/>
  <c r="F14" i="79"/>
  <c r="F12" i="79"/>
  <c r="F7" i="79"/>
  <c r="D6" i="79"/>
  <c r="F6" i="79" s="1"/>
  <c r="F5" i="79"/>
  <c r="F226" i="78"/>
  <c r="F225" i="78"/>
  <c r="F224" i="78"/>
  <c r="F223" i="78"/>
  <c r="F222" i="78"/>
  <c r="F219" i="78"/>
  <c r="F218" i="78"/>
  <c r="F217" i="78"/>
  <c r="F216" i="78"/>
  <c r="F215" i="78"/>
  <c r="F214" i="78"/>
  <c r="F212" i="78"/>
  <c r="F211" i="78"/>
  <c r="F210" i="78"/>
  <c r="F209" i="78"/>
  <c r="F208" i="78"/>
  <c r="F207" i="78"/>
  <c r="F206" i="78"/>
  <c r="F189" i="78"/>
  <c r="F188" i="78"/>
  <c r="F184" i="78"/>
  <c r="F167" i="78"/>
  <c r="F166" i="78"/>
  <c r="F164" i="78"/>
  <c r="F163" i="78"/>
  <c r="F162" i="78"/>
  <c r="F161" i="78"/>
  <c r="F160" i="78"/>
  <c r="F156" i="78"/>
  <c r="F155" i="78"/>
  <c r="D154" i="78"/>
  <c r="D158" i="78" s="1"/>
  <c r="F158" i="78" s="1"/>
  <c r="F151" i="78"/>
  <c r="D148" i="78"/>
  <c r="D149" i="78" s="1"/>
  <c r="F147" i="78"/>
  <c r="F142" i="78"/>
  <c r="D141" i="78"/>
  <c r="D143" i="78" s="1"/>
  <c r="F143" i="78" s="1"/>
  <c r="F140" i="78"/>
  <c r="F139" i="78"/>
  <c r="F138" i="78"/>
  <c r="F137" i="78"/>
  <c r="F136" i="78"/>
  <c r="F135" i="78"/>
  <c r="F134" i="78"/>
  <c r="F133" i="78"/>
  <c r="F132" i="78"/>
  <c r="F131" i="78"/>
  <c r="F129" i="78"/>
  <c r="F128" i="78"/>
  <c r="F127" i="78"/>
  <c r="F126" i="78"/>
  <c r="F124" i="78"/>
  <c r="F123" i="78"/>
  <c r="F122" i="78"/>
  <c r="F121" i="78"/>
  <c r="F118" i="78"/>
  <c r="F117" i="78"/>
  <c r="F116" i="78"/>
  <c r="F106" i="78"/>
  <c r="F105" i="78"/>
  <c r="F104" i="78"/>
  <c r="D99" i="78"/>
  <c r="F99" i="78" s="1"/>
  <c r="D98" i="78"/>
  <c r="F98" i="78" s="1"/>
  <c r="D95" i="78"/>
  <c r="D96" i="78" s="1"/>
  <c r="F96" i="78" s="1"/>
  <c r="F94" i="78"/>
  <c r="F93" i="78"/>
  <c r="F91" i="78"/>
  <c r="F90" i="78"/>
  <c r="F89" i="78"/>
  <c r="F88" i="78"/>
  <c r="F87" i="78"/>
  <c r="F86" i="78"/>
  <c r="F85" i="78"/>
  <c r="F81" i="78"/>
  <c r="F80" i="78"/>
  <c r="F77" i="78"/>
  <c r="F62" i="78"/>
  <c r="F61" i="78"/>
  <c r="F60" i="78"/>
  <c r="F59" i="78"/>
  <c r="F56" i="78"/>
  <c r="F55" i="78"/>
  <c r="F54" i="78"/>
  <c r="F53" i="78"/>
  <c r="F52" i="78"/>
  <c r="F51" i="78"/>
  <c r="F50" i="78"/>
  <c r="F49" i="78"/>
  <c r="F48" i="78"/>
  <c r="F45" i="78"/>
  <c r="F44" i="78"/>
  <c r="F43" i="78"/>
  <c r="F41" i="78"/>
  <c r="F39" i="78"/>
  <c r="F38" i="78"/>
  <c r="F37" i="78"/>
  <c r="F33" i="78"/>
  <c r="F31" i="78"/>
  <c r="F30" i="78"/>
  <c r="F29" i="78"/>
  <c r="F27" i="78"/>
  <c r="F26" i="78"/>
  <c r="F25" i="78"/>
  <c r="F24" i="78"/>
  <c r="F23" i="78"/>
  <c r="F21" i="78"/>
  <c r="F20" i="78"/>
  <c r="F19" i="78"/>
  <c r="F18" i="78"/>
  <c r="F17" i="78"/>
  <c r="F16" i="78"/>
  <c r="F14" i="78"/>
  <c r="D13" i="78"/>
  <c r="F13" i="78" s="1"/>
  <c r="F12" i="78"/>
  <c r="F10" i="78"/>
  <c r="F8" i="78"/>
  <c r="D7" i="78"/>
  <c r="F6" i="78"/>
  <c r="F5" i="78"/>
  <c r="F75" i="79" l="1"/>
  <c r="F79" i="79" s="1"/>
  <c r="F60" i="79"/>
  <c r="F178" i="79" s="1"/>
  <c r="F149" i="79"/>
  <c r="F188" i="79" s="1"/>
  <c r="F230" i="78"/>
  <c r="F232" i="78" s="1"/>
  <c r="F238" i="78" s="1"/>
  <c r="F259" i="78" s="1"/>
  <c r="F204" i="78"/>
  <c r="F257" i="78" s="1"/>
  <c r="F119" i="78"/>
  <c r="F251" i="78" s="1"/>
  <c r="F109" i="78"/>
  <c r="F249" i="78" s="1"/>
  <c r="F63" i="78"/>
  <c r="F245" i="78" s="1"/>
  <c r="F57" i="78"/>
  <c r="F243" i="78" s="1"/>
  <c r="D22" i="78"/>
  <c r="F22" i="78" s="1"/>
  <c r="D10" i="79"/>
  <c r="D11" i="79" s="1"/>
  <c r="F11" i="79" s="1"/>
  <c r="D96" i="79"/>
  <c r="F96" i="79" s="1"/>
  <c r="F114" i="79"/>
  <c r="F154" i="78"/>
  <c r="D11" i="78"/>
  <c r="D28" i="78" s="1"/>
  <c r="F28" i="78" s="1"/>
  <c r="F148" i="78"/>
  <c r="F128" i="79"/>
  <c r="D88" i="79"/>
  <c r="F88" i="79" s="1"/>
  <c r="F87" i="79"/>
  <c r="F125" i="79"/>
  <c r="F33" i="79"/>
  <c r="F81" i="79"/>
  <c r="D150" i="78"/>
  <c r="F149" i="78"/>
  <c r="F95" i="78"/>
  <c r="F100" i="78" s="1"/>
  <c r="F247" i="78" s="1"/>
  <c r="F7" i="78"/>
  <c r="F141" i="78"/>
  <c r="D125" i="78"/>
  <c r="F89" i="79" l="1"/>
  <c r="F180" i="79" s="1"/>
  <c r="F104" i="79"/>
  <c r="F182" i="79" s="1"/>
  <c r="D13" i="79"/>
  <c r="F13" i="79" s="1"/>
  <c r="F10" i="79"/>
  <c r="D32" i="78"/>
  <c r="F32" i="78" s="1"/>
  <c r="F11" i="78"/>
  <c r="D15" i="79"/>
  <c r="D130" i="78"/>
  <c r="F130" i="78" s="1"/>
  <c r="F125" i="78"/>
  <c r="D152" i="78"/>
  <c r="F150" i="78"/>
  <c r="F144" i="78" l="1"/>
  <c r="F253" i="78" s="1"/>
  <c r="D34" i="78"/>
  <c r="F34" i="78" s="1"/>
  <c r="D119" i="79"/>
  <c r="F15" i="79"/>
  <c r="D30" i="79"/>
  <c r="D153" i="78"/>
  <c r="F153" i="78" s="1"/>
  <c r="F152" i="78"/>
  <c r="F178" i="78" s="1"/>
  <c r="F255" i="78" l="1"/>
  <c r="D47" i="79"/>
  <c r="F47" i="79" s="1"/>
  <c r="D40" i="79"/>
  <c r="F40" i="79" s="1"/>
  <c r="D40" i="78"/>
  <c r="F40" i="78" s="1"/>
  <c r="D32" i="79"/>
  <c r="F32" i="79" s="1"/>
  <c r="F30" i="79"/>
  <c r="F35" i="79" s="1"/>
  <c r="F119" i="79"/>
  <c r="F129" i="79" s="1"/>
  <c r="F48" i="79" l="1"/>
  <c r="F176" i="79" s="1"/>
  <c r="F174" i="79"/>
  <c r="D42" i="78"/>
  <c r="F42" i="78" s="1"/>
  <c r="F46" i="78" s="1"/>
  <c r="F241" i="78" s="1"/>
  <c r="F261" i="78" l="1"/>
  <c r="F265" i="78"/>
  <c r="F186" i="79"/>
  <c r="F194" i="79" s="1"/>
  <c r="F171" i="77"/>
  <c r="F170" i="77"/>
  <c r="F165" i="77"/>
  <c r="F164" i="77"/>
  <c r="F163" i="77"/>
  <c r="F162" i="77"/>
  <c r="F161" i="77"/>
  <c r="F160" i="77"/>
  <c r="F159" i="77"/>
  <c r="F158" i="77"/>
  <c r="F157" i="77"/>
  <c r="F156" i="77"/>
  <c r="F155" i="77"/>
  <c r="F154" i="77"/>
  <c r="F142" i="77"/>
  <c r="F119" i="77"/>
  <c r="F120" i="77" s="1"/>
  <c r="F203" i="77" s="1"/>
  <c r="F115" i="77"/>
  <c r="D113" i="77"/>
  <c r="F113" i="77" s="1"/>
  <c r="D112" i="77"/>
  <c r="F112" i="77" s="1"/>
  <c r="D111" i="77"/>
  <c r="F111" i="77" s="1"/>
  <c r="D106" i="77"/>
  <c r="F106" i="77" s="1"/>
  <c r="F105" i="77"/>
  <c r="F104" i="77"/>
  <c r="F103" i="77"/>
  <c r="D97" i="77"/>
  <c r="F97" i="77" s="1"/>
  <c r="F96" i="77"/>
  <c r="F95" i="77"/>
  <c r="D93" i="77"/>
  <c r="F93" i="77" s="1"/>
  <c r="F91" i="77"/>
  <c r="D90" i="77"/>
  <c r="F90" i="77" s="1"/>
  <c r="F89" i="77"/>
  <c r="F87" i="77"/>
  <c r="F86" i="77"/>
  <c r="F85" i="77"/>
  <c r="F84" i="77"/>
  <c r="D83" i="77"/>
  <c r="F83" i="77" s="1"/>
  <c r="D82" i="77"/>
  <c r="F82" i="77" s="1"/>
  <c r="D81" i="77"/>
  <c r="F81" i="77" s="1"/>
  <c r="F18" i="77"/>
  <c r="F17" i="77"/>
  <c r="F15" i="77"/>
  <c r="F13" i="77"/>
  <c r="F8" i="77"/>
  <c r="D7" i="77"/>
  <c r="F7" i="77" s="1"/>
  <c r="F6" i="77"/>
  <c r="F5" i="77"/>
  <c r="B2" i="77"/>
  <c r="F163" i="75"/>
  <c r="F162" i="75"/>
  <c r="F161" i="75"/>
  <c r="F160" i="75"/>
  <c r="F159" i="75"/>
  <c r="F158" i="75"/>
  <c r="F157" i="75"/>
  <c r="F156" i="75"/>
  <c r="F155" i="75"/>
  <c r="F154" i="75"/>
  <c r="F153" i="75"/>
  <c r="F152" i="75"/>
  <c r="F148" i="75"/>
  <c r="F118" i="75"/>
  <c r="F119" i="75" s="1"/>
  <c r="F194" i="75" s="1"/>
  <c r="F114" i="75"/>
  <c r="F112" i="75"/>
  <c r="D111" i="75"/>
  <c r="F111" i="75" s="1"/>
  <c r="F110" i="75"/>
  <c r="D106" i="75"/>
  <c r="D107" i="75" s="1"/>
  <c r="F107" i="75" s="1"/>
  <c r="F105" i="75"/>
  <c r="F104" i="75"/>
  <c r="F103" i="75"/>
  <c r="F102" i="75"/>
  <c r="D96" i="75"/>
  <c r="F96" i="75" s="1"/>
  <c r="F95" i="75"/>
  <c r="F94" i="75"/>
  <c r="D92" i="75"/>
  <c r="D98" i="75" s="1"/>
  <c r="F90" i="75"/>
  <c r="D89" i="75"/>
  <c r="F89" i="75" s="1"/>
  <c r="F88" i="75"/>
  <c r="F86" i="75"/>
  <c r="F85" i="75"/>
  <c r="F84" i="75"/>
  <c r="F83" i="75"/>
  <c r="D82" i="75"/>
  <c r="F82" i="75" s="1"/>
  <c r="D81" i="75"/>
  <c r="F81" i="75" s="1"/>
  <c r="D80" i="75"/>
  <c r="F80" i="75" s="1"/>
  <c r="D41" i="75"/>
  <c r="D42" i="75" s="1"/>
  <c r="F42" i="75" s="1"/>
  <c r="F39" i="75"/>
  <c r="F29" i="75"/>
  <c r="F28" i="75"/>
  <c r="F25" i="75"/>
  <c r="F26" i="75"/>
  <c r="F22" i="75"/>
  <c r="F20" i="75"/>
  <c r="F18" i="75"/>
  <c r="F16" i="75"/>
  <c r="F8" i="75"/>
  <c r="D7" i="75"/>
  <c r="F7" i="75" s="1"/>
  <c r="F6" i="75"/>
  <c r="D113" i="58"/>
  <c r="F106" i="58"/>
  <c r="F19" i="58"/>
  <c r="F8" i="58"/>
  <c r="D39" i="34"/>
  <c r="C15" i="17" l="1"/>
  <c r="C17" i="17"/>
  <c r="F167" i="77"/>
  <c r="F173" i="77"/>
  <c r="F209" i="77" s="1"/>
  <c r="F207" i="77"/>
  <c r="F164" i="75"/>
  <c r="F198" i="75" s="1"/>
  <c r="D11" i="77"/>
  <c r="D12" i="77" s="1"/>
  <c r="D107" i="77"/>
  <c r="F107" i="77" s="1"/>
  <c r="F116" i="77" s="1"/>
  <c r="D99" i="77"/>
  <c r="F98" i="75"/>
  <c r="D99" i="75"/>
  <c r="F99" i="75" s="1"/>
  <c r="F106" i="75"/>
  <c r="D14" i="75"/>
  <c r="F41" i="75"/>
  <c r="F92" i="75"/>
  <c r="F100" i="75" s="1"/>
  <c r="F190" i="75" s="1"/>
  <c r="F201" i="77" l="1"/>
  <c r="F115" i="75"/>
  <c r="F192" i="75" s="1"/>
  <c r="F11" i="77"/>
  <c r="D14" i="77"/>
  <c r="F12" i="77"/>
  <c r="D100" i="77"/>
  <c r="F100" i="77" s="1"/>
  <c r="F99" i="77"/>
  <c r="F101" i="77" s="1"/>
  <c r="D15" i="75"/>
  <c r="F14" i="75"/>
  <c r="D16" i="77" l="1"/>
  <c r="D31" i="77" s="1"/>
  <c r="D59" i="77" s="1"/>
  <c r="F59" i="77" s="1"/>
  <c r="D131" i="77"/>
  <c r="F131" i="77" s="1"/>
  <c r="F141" i="77" s="1"/>
  <c r="F205" i="77" s="1"/>
  <c r="F199" i="77"/>
  <c r="F14" i="77"/>
  <c r="F15" i="75"/>
  <c r="D17" i="75"/>
  <c r="D41" i="77" l="1"/>
  <c r="F41" i="77" s="1"/>
  <c r="F31" i="77"/>
  <c r="D52" i="77"/>
  <c r="F52" i="77" s="1"/>
  <c r="F16" i="77"/>
  <c r="D19" i="75"/>
  <c r="F17" i="75"/>
  <c r="F35" i="77" l="1"/>
  <c r="F37" i="77" s="1"/>
  <c r="F46" i="77" s="1"/>
  <c r="F193" i="77" s="1"/>
  <c r="F60" i="77"/>
  <c r="F195" i="77" s="1"/>
  <c r="F19" i="75"/>
  <c r="D37" i="75"/>
  <c r="D50" i="75" s="1"/>
  <c r="F50" i="75" s="1"/>
  <c r="F58" i="75" s="1"/>
  <c r="F186" i="75" s="1"/>
  <c r="F34" i="75" l="1"/>
  <c r="F36" i="75" s="1"/>
  <c r="F43" i="75" s="1"/>
  <c r="F184" i="75" s="1"/>
  <c r="F37" i="75"/>
  <c r="D40" i="75"/>
  <c r="F40" i="75" s="1"/>
  <c r="F213" i="77" l="1"/>
  <c r="C13" i="17" l="1"/>
  <c r="F206" i="75"/>
  <c r="D123" i="34"/>
  <c r="F123" i="34" s="1"/>
  <c r="F130" i="34"/>
  <c r="F49" i="34"/>
  <c r="F69" i="34"/>
  <c r="F67" i="34"/>
  <c r="F66" i="34"/>
  <c r="F56" i="34"/>
  <c r="F54" i="34"/>
  <c r="F53" i="34"/>
  <c r="F39" i="34"/>
  <c r="F28" i="34"/>
  <c r="F29" i="34"/>
  <c r="F25" i="34"/>
  <c r="F36" i="34"/>
  <c r="F26" i="34"/>
  <c r="F42" i="34"/>
  <c r="F8" i="34"/>
  <c r="C9" i="17" l="1"/>
  <c r="D135" i="34"/>
  <c r="F135" i="34" s="1"/>
  <c r="F125" i="34"/>
  <c r="F70" i="34"/>
  <c r="F178" i="34" s="1"/>
  <c r="F40" i="34" l="1"/>
  <c r="F33" i="30"/>
  <c r="D31" i="30"/>
  <c r="F31" i="30" s="1"/>
  <c r="F29" i="30"/>
  <c r="F35" i="30" s="1"/>
  <c r="F43" i="30" s="1"/>
  <c r="F20" i="30"/>
  <c r="F19" i="30"/>
  <c r="D19" i="30"/>
  <c r="D21" i="30" s="1"/>
  <c r="F21" i="30" s="1"/>
  <c r="F18" i="30"/>
  <c r="D13" i="30"/>
  <c r="F13" i="30" s="1"/>
  <c r="F12" i="30"/>
  <c r="F11" i="30"/>
  <c r="F10" i="30"/>
  <c r="F9" i="30"/>
  <c r="F8" i="30"/>
  <c r="F7" i="30"/>
  <c r="F6" i="30"/>
  <c r="D5" i="30"/>
  <c r="F5" i="30" s="1"/>
  <c r="F15" i="30" l="1"/>
  <c r="F39" i="30" s="1"/>
  <c r="F24" i="30"/>
  <c r="F41" i="30" s="1"/>
  <c r="F45" i="30" s="1"/>
  <c r="C27" i="17" s="1"/>
  <c r="D46" i="66" l="1"/>
  <c r="D33" i="69"/>
  <c r="D24" i="69"/>
  <c r="D14" i="69"/>
  <c r="D10" i="69"/>
  <c r="D94" i="71"/>
  <c r="D93" i="71"/>
  <c r="D80" i="71"/>
  <c r="D75" i="71"/>
  <c r="D72" i="71"/>
  <c r="F72" i="71" s="1"/>
  <c r="D42" i="71"/>
  <c r="D41" i="71"/>
  <c r="D40" i="71"/>
  <c r="D38" i="71"/>
  <c r="F38" i="71" s="1"/>
  <c r="D37" i="71"/>
  <c r="F37" i="71" s="1"/>
  <c r="D36" i="71"/>
  <c r="D33" i="71"/>
  <c r="D32" i="71"/>
  <c r="D31" i="71"/>
  <c r="D16" i="71"/>
  <c r="F16" i="71" s="1"/>
  <c r="F110" i="71"/>
  <c r="F109" i="71"/>
  <c r="F108" i="71"/>
  <c r="F107" i="71"/>
  <c r="F106" i="71"/>
  <c r="F105" i="71"/>
  <c r="F104" i="71"/>
  <c r="F103" i="71"/>
  <c r="F102" i="71"/>
  <c r="F101" i="71"/>
  <c r="F100" i="71"/>
  <c r="F99" i="71"/>
  <c r="F94" i="71"/>
  <c r="F93" i="71"/>
  <c r="F89" i="71"/>
  <c r="F80" i="71"/>
  <c r="F78" i="71"/>
  <c r="F75" i="71"/>
  <c r="F74" i="71"/>
  <c r="F73" i="71"/>
  <c r="F69" i="71"/>
  <c r="F66" i="71"/>
  <c r="F61" i="71"/>
  <c r="F59" i="71"/>
  <c r="F57" i="71"/>
  <c r="F54" i="71"/>
  <c r="F52" i="71"/>
  <c r="F42" i="71"/>
  <c r="F41" i="71"/>
  <c r="F40" i="71"/>
  <c r="F36" i="71"/>
  <c r="F33" i="71"/>
  <c r="F32" i="71"/>
  <c r="F31" i="71"/>
  <c r="F28" i="71"/>
  <c r="F24" i="71"/>
  <c r="F21" i="71"/>
  <c r="F18" i="71"/>
  <c r="F17" i="71"/>
  <c r="F14" i="71"/>
  <c r="F9" i="71"/>
  <c r="F7" i="71"/>
  <c r="F98" i="65"/>
  <c r="F93" i="65"/>
  <c r="F90" i="65"/>
  <c r="F82" i="65"/>
  <c r="F80" i="65"/>
  <c r="F75" i="65"/>
  <c r="F74" i="65"/>
  <c r="F73" i="65"/>
  <c r="F72" i="65"/>
  <c r="F71" i="65"/>
  <c r="F70" i="65"/>
  <c r="F69" i="65"/>
  <c r="F67" i="65"/>
  <c r="F66" i="65"/>
  <c r="F65" i="65"/>
  <c r="F64" i="65"/>
  <c r="F63" i="65"/>
  <c r="F62" i="65"/>
  <c r="F61" i="65"/>
  <c r="F60" i="65"/>
  <c r="F58" i="65"/>
  <c r="F57" i="65"/>
  <c r="F56" i="65"/>
  <c r="F55" i="65"/>
  <c r="F53" i="65"/>
  <c r="F52" i="65"/>
  <c r="F51" i="65"/>
  <c r="F50" i="65"/>
  <c r="F45" i="65"/>
  <c r="F44" i="65"/>
  <c r="F42" i="65"/>
  <c r="F39" i="65"/>
  <c r="F32" i="65"/>
  <c r="F29" i="65"/>
  <c r="F28" i="65"/>
  <c r="F26" i="65"/>
  <c r="F25" i="65"/>
  <c r="F22" i="65"/>
  <c r="F21" i="65"/>
  <c r="F20" i="65"/>
  <c r="F18" i="65"/>
  <c r="F17" i="65"/>
  <c r="F15" i="65"/>
  <c r="F13" i="65"/>
  <c r="F10" i="65"/>
  <c r="F7" i="65"/>
  <c r="F44" i="71" l="1"/>
  <c r="F46" i="71" s="1"/>
  <c r="F83" i="71" s="1"/>
  <c r="F85" i="71" s="1"/>
  <c r="F111" i="71" s="1"/>
  <c r="C31" i="17" s="1"/>
  <c r="F8" i="65"/>
  <c r="F11" i="65"/>
  <c r="D78" i="58"/>
  <c r="D135" i="58" s="1"/>
  <c r="D76" i="58"/>
  <c r="D109" i="34"/>
  <c r="B2" i="34"/>
  <c r="F101" i="65" l="1"/>
  <c r="C37" i="17" s="1"/>
  <c r="D147" i="58"/>
  <c r="F147" i="58" s="1"/>
  <c r="F135" i="58"/>
  <c r="B50" i="70"/>
  <c r="B48" i="70"/>
  <c r="B46" i="70"/>
  <c r="F39" i="70"/>
  <c r="F36" i="70"/>
  <c r="F29" i="70"/>
  <c r="F28" i="70"/>
  <c r="D26" i="70"/>
  <c r="F26" i="70" s="1"/>
  <c r="F25" i="70"/>
  <c r="D24" i="70"/>
  <c r="F24" i="70" s="1"/>
  <c r="F23" i="70"/>
  <c r="F21" i="70"/>
  <c r="D20" i="70"/>
  <c r="F20" i="70" s="1"/>
  <c r="D17" i="70"/>
  <c r="F17" i="70" s="1"/>
  <c r="F16" i="70"/>
  <c r="D42" i="69"/>
  <c r="F42" i="69" s="1"/>
  <c r="D30" i="69"/>
  <c r="D12" i="69"/>
  <c r="F10" i="69"/>
  <c r="F51" i="69"/>
  <c r="F50" i="69"/>
  <c r="F49" i="69"/>
  <c r="F46" i="69"/>
  <c r="F45" i="69"/>
  <c r="F44" i="69"/>
  <c r="F41" i="69"/>
  <c r="F38" i="69"/>
  <c r="F33" i="69"/>
  <c r="F30" i="69"/>
  <c r="F24" i="69"/>
  <c r="F18" i="69"/>
  <c r="F17" i="69"/>
  <c r="F14" i="69"/>
  <c r="F12" i="69"/>
  <c r="D59" i="68"/>
  <c r="F59" i="68" s="1"/>
  <c r="D6" i="68"/>
  <c r="F6" i="68" s="1"/>
  <c r="F7" i="68"/>
  <c r="F169" i="68"/>
  <c r="F168" i="68"/>
  <c r="D167" i="68"/>
  <c r="F167" i="68" s="1"/>
  <c r="D166" i="68"/>
  <c r="F166" i="68" s="1"/>
  <c r="D165" i="68"/>
  <c r="F165" i="68" s="1"/>
  <c r="D164" i="68"/>
  <c r="F164" i="68" s="1"/>
  <c r="D163" i="68"/>
  <c r="F163" i="68" s="1"/>
  <c r="D162" i="68"/>
  <c r="F162" i="68" s="1"/>
  <c r="F161" i="68"/>
  <c r="F156" i="68"/>
  <c r="F155" i="68"/>
  <c r="F154" i="68"/>
  <c r="F153" i="68"/>
  <c r="F152" i="68"/>
  <c r="F151" i="68"/>
  <c r="F150" i="68"/>
  <c r="F149" i="68"/>
  <c r="F148" i="68"/>
  <c r="F147" i="68"/>
  <c r="F146" i="68"/>
  <c r="F144" i="68"/>
  <c r="F143" i="68"/>
  <c r="F142" i="68"/>
  <c r="F141" i="68"/>
  <c r="F140" i="68"/>
  <c r="F139" i="68"/>
  <c r="F137" i="68"/>
  <c r="F136" i="68"/>
  <c r="F135" i="68"/>
  <c r="F134" i="68"/>
  <c r="F130" i="68"/>
  <c r="F129" i="68"/>
  <c r="F128" i="68"/>
  <c r="F126" i="68"/>
  <c r="F124" i="68"/>
  <c r="D121" i="68"/>
  <c r="F121" i="68" s="1"/>
  <c r="F113" i="68"/>
  <c r="F112" i="68"/>
  <c r="F111" i="68"/>
  <c r="F110" i="68"/>
  <c r="F109" i="68"/>
  <c r="D108" i="68"/>
  <c r="F108" i="68" s="1"/>
  <c r="F107" i="68"/>
  <c r="F106" i="68"/>
  <c r="F105" i="68"/>
  <c r="F104" i="68"/>
  <c r="F103" i="68"/>
  <c r="F88" i="68"/>
  <c r="F86" i="68"/>
  <c r="F81" i="68"/>
  <c r="F79" i="68"/>
  <c r="F77" i="68"/>
  <c r="F76" i="68"/>
  <c r="D73" i="68"/>
  <c r="F73" i="68" s="1"/>
  <c r="D71" i="68"/>
  <c r="F67" i="68"/>
  <c r="D66" i="68"/>
  <c r="D70" i="68" s="1"/>
  <c r="F70" i="68" s="1"/>
  <c r="F63" i="68"/>
  <c r="F62" i="68"/>
  <c r="F61" i="68"/>
  <c r="F60" i="68"/>
  <c r="F24" i="68"/>
  <c r="F21" i="68"/>
  <c r="F18" i="68"/>
  <c r="F17" i="68"/>
  <c r="F16" i="68"/>
  <c r="F14" i="68"/>
  <c r="F12" i="68"/>
  <c r="F8" i="68"/>
  <c r="F80" i="66"/>
  <c r="F82" i="66" s="1"/>
  <c r="F100" i="66" s="1"/>
  <c r="F73" i="66"/>
  <c r="F75" i="66" s="1"/>
  <c r="F98" i="66" s="1"/>
  <c r="F66" i="66"/>
  <c r="D62" i="66"/>
  <c r="F62" i="66" s="1"/>
  <c r="C62" i="66"/>
  <c r="F58" i="66"/>
  <c r="F54" i="66"/>
  <c r="F47" i="66"/>
  <c r="F46" i="66"/>
  <c r="F49" i="66" s="1"/>
  <c r="F94" i="66" s="1"/>
  <c r="D37" i="66"/>
  <c r="F37" i="66" s="1"/>
  <c r="D36" i="66"/>
  <c r="F36" i="66" s="1"/>
  <c r="D35" i="66"/>
  <c r="F35" i="66" s="1"/>
  <c r="D34" i="66"/>
  <c r="F34" i="66" s="1"/>
  <c r="D33" i="66"/>
  <c r="F33" i="66" s="1"/>
  <c r="D31" i="66"/>
  <c r="F31" i="66" s="1"/>
  <c r="D27" i="66"/>
  <c r="F27" i="66" s="1"/>
  <c r="F23" i="66"/>
  <c r="F21" i="66"/>
  <c r="F19" i="66"/>
  <c r="F17" i="66"/>
  <c r="F10" i="66"/>
  <c r="D9" i="66"/>
  <c r="F9" i="66" s="1"/>
  <c r="D7" i="66"/>
  <c r="F7" i="66" s="1"/>
  <c r="F11" i="70" l="1"/>
  <c r="F46" i="70" s="1"/>
  <c r="F82" i="68"/>
  <c r="F170" i="68"/>
  <c r="F193" i="68" s="1"/>
  <c r="F157" i="68"/>
  <c r="F191" i="68" s="1"/>
  <c r="F114" i="68"/>
  <c r="F189" i="68" s="1"/>
  <c r="F151" i="58"/>
  <c r="F207" i="58" s="1"/>
  <c r="F31" i="70"/>
  <c r="F48" i="70" s="1"/>
  <c r="F25" i="69"/>
  <c r="F27" i="69" s="1"/>
  <c r="F53" i="69" s="1"/>
  <c r="C21" i="17" s="1"/>
  <c r="D10" i="68"/>
  <c r="F5" i="68"/>
  <c r="F11" i="66"/>
  <c r="F90" i="66" s="1"/>
  <c r="F66" i="68"/>
  <c r="F71" i="68"/>
  <c r="F69" i="66"/>
  <c r="F96" i="66" s="1"/>
  <c r="F38" i="66"/>
  <c r="F92" i="66" s="1"/>
  <c r="F185" i="68" l="1"/>
  <c r="F41" i="70"/>
  <c r="F50" i="70" s="1"/>
  <c r="F54" i="70" s="1"/>
  <c r="C29" i="17" s="1"/>
  <c r="F104" i="66"/>
  <c r="F106" i="66" s="1"/>
  <c r="C19" i="17" s="1"/>
  <c r="D11" i="68"/>
  <c r="F10" i="68"/>
  <c r="F11" i="68" l="1"/>
  <c r="D13" i="68"/>
  <c r="D15" i="68" l="1"/>
  <c r="F13" i="68"/>
  <c r="D19" i="68" l="1"/>
  <c r="F15" i="68"/>
  <c r="D22" i="68"/>
  <c r="F22" i="68" s="1"/>
  <c r="F58" i="68" l="1"/>
  <c r="F74" i="68" s="1"/>
  <c r="F183" i="68" s="1"/>
  <c r="D25" i="68"/>
  <c r="F19" i="68"/>
  <c r="F25" i="68" l="1"/>
  <c r="F27" i="68" s="1"/>
  <c r="F177" i="68" s="1"/>
  <c r="D87" i="68"/>
  <c r="D89" i="68" l="1"/>
  <c r="F89" i="68" s="1"/>
  <c r="F87" i="68"/>
  <c r="F100" i="68" l="1"/>
  <c r="F187" i="68" s="1"/>
  <c r="F195" i="68" s="1"/>
  <c r="C23" i="17" s="1"/>
  <c r="F173" i="58" l="1"/>
  <c r="F177" i="58" s="1"/>
  <c r="F211" i="58" s="1"/>
  <c r="F172" i="58"/>
  <c r="F167" i="58"/>
  <c r="F166" i="58"/>
  <c r="F165" i="58"/>
  <c r="F164" i="58"/>
  <c r="F163" i="58"/>
  <c r="F162" i="58"/>
  <c r="F161" i="58"/>
  <c r="F160" i="58"/>
  <c r="F159" i="58"/>
  <c r="F158" i="58"/>
  <c r="F157" i="58"/>
  <c r="F156" i="58"/>
  <c r="F153" i="58"/>
  <c r="F120" i="58"/>
  <c r="F116" i="58"/>
  <c r="F114" i="58"/>
  <c r="F113" i="58"/>
  <c r="F112" i="58"/>
  <c r="D108" i="58"/>
  <c r="D109" i="58" s="1"/>
  <c r="F109" i="58" s="1"/>
  <c r="F107" i="58"/>
  <c r="F105" i="58"/>
  <c r="F104" i="58"/>
  <c r="F103" i="58"/>
  <c r="D98" i="58"/>
  <c r="F98" i="58" s="1"/>
  <c r="F97" i="58"/>
  <c r="F96" i="58"/>
  <c r="D94" i="58"/>
  <c r="D100" i="58" s="1"/>
  <c r="F92" i="58"/>
  <c r="D91" i="58"/>
  <c r="F91" i="58" s="1"/>
  <c r="F90" i="58"/>
  <c r="F84" i="58"/>
  <c r="F83" i="58"/>
  <c r="F82" i="58"/>
  <c r="F81" i="58"/>
  <c r="F80" i="58"/>
  <c r="F79" i="58"/>
  <c r="F78" i="58"/>
  <c r="D77" i="58"/>
  <c r="F77" i="58" s="1"/>
  <c r="F76" i="58"/>
  <c r="F17" i="58"/>
  <c r="F15" i="58"/>
  <c r="F13" i="58"/>
  <c r="D7" i="58"/>
  <c r="D11" i="58" s="1"/>
  <c r="F6" i="58"/>
  <c r="F169" i="58" l="1"/>
  <c r="F209" i="58" s="1"/>
  <c r="F85" i="58"/>
  <c r="F121" i="58"/>
  <c r="F205" i="58" s="1"/>
  <c r="D101" i="58"/>
  <c r="F101" i="58" s="1"/>
  <c r="F100" i="58"/>
  <c r="F108" i="58"/>
  <c r="F94" i="58"/>
  <c r="F11" i="58"/>
  <c r="D12" i="58"/>
  <c r="F7" i="58"/>
  <c r="F117" i="58" l="1"/>
  <c r="F203" i="58" s="1"/>
  <c r="D14" i="58"/>
  <c r="F12" i="58"/>
  <c r="D16" i="58" l="1"/>
  <c r="D32" i="58" s="1"/>
  <c r="D52" i="58" s="1"/>
  <c r="F52" i="58" s="1"/>
  <c r="F14" i="58"/>
  <c r="F60" i="58" l="1"/>
  <c r="F197" i="58" s="1"/>
  <c r="F32" i="58"/>
  <c r="D36" i="58"/>
  <c r="F36" i="58" s="1"/>
  <c r="F16" i="58"/>
  <c r="F39" i="58" s="1"/>
  <c r="F195" i="58" l="1"/>
  <c r="F88" i="58" l="1"/>
  <c r="F102" i="58" s="1"/>
  <c r="D108" i="34"/>
  <c r="D110" i="34"/>
  <c r="F201" i="58" l="1"/>
  <c r="F219" i="58" s="1"/>
  <c r="D75" i="34"/>
  <c r="D76" i="34"/>
  <c r="D74" i="34"/>
  <c r="D7" i="34"/>
  <c r="D14" i="34" s="1"/>
  <c r="C7" i="17" l="1"/>
  <c r="C3" i="17" l="1"/>
  <c r="B7" i="17"/>
  <c r="C25" i="17"/>
  <c r="D86" i="34" l="1"/>
  <c r="D83" i="34"/>
  <c r="F83" i="34" s="1"/>
  <c r="F82" i="34"/>
  <c r="F140" i="34" l="1"/>
  <c r="F141" i="34"/>
  <c r="F142" i="34"/>
  <c r="F143" i="34"/>
  <c r="F144" i="34"/>
  <c r="F146" i="34"/>
  <c r="F147" i="34"/>
  <c r="F148" i="34"/>
  <c r="F149" i="34"/>
  <c r="F150" i="34"/>
  <c r="F151" i="34"/>
  <c r="F152" i="34"/>
  <c r="F156" i="34"/>
  <c r="F157" i="34"/>
  <c r="F158" i="34" s="1"/>
  <c r="F112" i="34"/>
  <c r="F84" i="34"/>
  <c r="F88" i="34"/>
  <c r="F94" i="34"/>
  <c r="F100" i="34"/>
  <c r="F101" i="34"/>
  <c r="F102" i="34"/>
  <c r="F103" i="34"/>
  <c r="F108" i="34"/>
  <c r="F110" i="34"/>
  <c r="F116" i="34"/>
  <c r="F117" i="34" s="1"/>
  <c r="F184" i="34" s="1"/>
  <c r="F75" i="34"/>
  <c r="F76" i="34"/>
  <c r="F77" i="34"/>
  <c r="F78" i="34"/>
  <c r="F79" i="34"/>
  <c r="F80" i="34"/>
  <c r="F74" i="34"/>
  <c r="F145" i="34" l="1"/>
  <c r="F153" i="34" s="1"/>
  <c r="F109" i="34"/>
  <c r="D104" i="34"/>
  <c r="D95" i="34"/>
  <c r="F95" i="34" s="1"/>
  <c r="F190" i="34" l="1"/>
  <c r="F188" i="34"/>
  <c r="D105" i="34"/>
  <c r="F105" i="34" s="1"/>
  <c r="F104" i="34"/>
  <c r="F113" i="34" s="1"/>
  <c r="F182" i="34" l="1"/>
  <c r="D97" i="34"/>
  <c r="F86" i="34"/>
  <c r="F92" i="34" l="1"/>
  <c r="D98" i="34"/>
  <c r="F98" i="34" s="1"/>
  <c r="F97" i="34"/>
  <c r="F99" i="34" l="1"/>
  <c r="F180" i="34" s="1"/>
  <c r="D15" i="34"/>
  <c r="D17" i="34" l="1"/>
  <c r="D19" i="34" s="1"/>
  <c r="D129" i="34"/>
  <c r="F15" i="34"/>
  <c r="F14" i="34"/>
  <c r="D34" i="34" l="1"/>
  <c r="F34" i="34" s="1"/>
  <c r="D57" i="34"/>
  <c r="F129" i="34"/>
  <c r="D38" i="34" l="1"/>
  <c r="F38" i="34" s="1"/>
  <c r="D50" i="34"/>
  <c r="F50" i="34" s="1"/>
  <c r="F57" i="34"/>
  <c r="D126" i="34"/>
  <c r="F58" i="34" l="1"/>
  <c r="F176" i="34" s="1"/>
  <c r="F126" i="34"/>
  <c r="D138" i="34"/>
  <c r="F138" i="34" s="1"/>
  <c r="F19" i="34"/>
  <c r="F18" i="34"/>
  <c r="F17" i="34"/>
  <c r="F16" i="34"/>
  <c r="F22" i="34"/>
  <c r="F21" i="34"/>
  <c r="F20" i="34"/>
  <c r="F7" i="34"/>
  <c r="F6" i="34"/>
  <c r="F5" i="34"/>
  <c r="F139" i="34" l="1"/>
  <c r="F186" i="34" s="1"/>
  <c r="F43" i="34"/>
  <c r="F174" i="34" s="1"/>
  <c r="F196" i="34" l="1"/>
  <c r="F45" i="33"/>
  <c r="F199" i="34" l="1"/>
  <c r="C5" i="17" s="1"/>
  <c r="C41" i="17" s="1"/>
  <c r="F43" i="33"/>
  <c r="F42" i="33"/>
  <c r="F41" i="33"/>
  <c r="F40" i="33"/>
  <c r="F39" i="33"/>
  <c r="F38" i="33"/>
  <c r="F37" i="33"/>
  <c r="F36" i="33"/>
  <c r="F35" i="33"/>
  <c r="D30" i="33"/>
  <c r="D31" i="33" s="1"/>
  <c r="F31" i="33" s="1"/>
  <c r="D22" i="33"/>
  <c r="D21" i="33"/>
  <c r="D14" i="33"/>
  <c r="F14" i="33" s="1"/>
  <c r="D13" i="33"/>
  <c r="F13" i="33" s="1"/>
  <c r="D11" i="33"/>
  <c r="D5" i="33"/>
  <c r="D16" i="33" s="1"/>
  <c r="D9" i="33"/>
  <c r="F9" i="33" s="1"/>
  <c r="D4" i="33"/>
  <c r="F4" i="33"/>
  <c r="D15" i="33"/>
  <c r="F15" i="33" s="1"/>
  <c r="D24" i="33"/>
  <c r="D33" i="33"/>
  <c r="F33" i="33" s="1"/>
  <c r="D27" i="33"/>
  <c r="F27" i="33" s="1"/>
  <c r="F46" i="33"/>
  <c r="F29" i="33"/>
  <c r="F22" i="33"/>
  <c r="F21" i="33"/>
  <c r="F18" i="33"/>
  <c r="F12" i="33"/>
  <c r="F11" i="33"/>
  <c r="D10" i="33" l="1"/>
  <c r="F10" i="33" s="1"/>
  <c r="F30" i="33"/>
  <c r="F16" i="33"/>
  <c r="D25" i="33"/>
  <c r="F25" i="33" s="1"/>
  <c r="D34" i="33"/>
  <c r="F34" i="33" s="1"/>
  <c r="F5" i="33"/>
  <c r="F24" i="33"/>
  <c r="C43" i="17" l="1"/>
  <c r="C45" i="17" s="1"/>
  <c r="F572" i="29"/>
  <c r="F571" i="29"/>
  <c r="F570" i="29"/>
  <c r="F569" i="29"/>
  <c r="F568" i="29"/>
  <c r="F567" i="29"/>
  <c r="F566" i="29"/>
  <c r="F565" i="29"/>
  <c r="F564" i="29"/>
  <c r="F563" i="29"/>
  <c r="F562" i="29"/>
  <c r="F561" i="29"/>
  <c r="F560" i="29"/>
  <c r="F559" i="29"/>
  <c r="F558" i="29"/>
  <c r="F557" i="29"/>
  <c r="F556" i="29"/>
  <c r="F555" i="29"/>
  <c r="F554" i="29"/>
  <c r="F553" i="29"/>
  <c r="F552" i="29"/>
  <c r="F551" i="29"/>
  <c r="F550" i="29"/>
  <c r="F549" i="29"/>
  <c r="F548" i="29"/>
  <c r="F547" i="29"/>
  <c r="F546" i="29"/>
  <c r="F545" i="29"/>
  <c r="F544" i="29"/>
  <c r="F543" i="29"/>
  <c r="F542" i="29"/>
  <c r="F541" i="29"/>
  <c r="F540" i="29"/>
  <c r="F539" i="29"/>
  <c r="F538" i="29"/>
  <c r="F537" i="29"/>
  <c r="F536" i="29"/>
  <c r="F535" i="29"/>
  <c r="D534" i="29"/>
  <c r="F534" i="29" s="1"/>
  <c r="F533" i="29"/>
  <c r="F532" i="29"/>
  <c r="F531" i="29"/>
  <c r="F530" i="29"/>
  <c r="F529" i="29"/>
  <c r="F528" i="29"/>
  <c r="F527" i="29"/>
  <c r="F526" i="29"/>
  <c r="F525" i="29"/>
  <c r="F524" i="29"/>
  <c r="F523" i="29"/>
  <c r="F522" i="29"/>
  <c r="F521" i="29"/>
  <c r="F520" i="29"/>
  <c r="F519" i="29"/>
  <c r="F518" i="29"/>
  <c r="F517" i="29"/>
  <c r="B517" i="29"/>
  <c r="F515" i="29"/>
  <c r="F514" i="29"/>
  <c r="F513" i="29"/>
  <c r="F512" i="29"/>
  <c r="F508" i="29"/>
  <c r="F504" i="29"/>
  <c r="D500" i="29"/>
  <c r="F500" i="29" s="1"/>
  <c r="F497" i="29"/>
  <c r="F491" i="29"/>
  <c r="F478" i="29"/>
  <c r="B455" i="29"/>
  <c r="F449" i="29"/>
  <c r="F436" i="29"/>
  <c r="F433" i="29"/>
  <c r="F429" i="29"/>
  <c r="F416" i="29"/>
  <c r="F414" i="29"/>
  <c r="F413" i="29"/>
  <c r="F412" i="29"/>
  <c r="F411" i="29"/>
  <c r="F410" i="29"/>
  <c r="F409" i="29"/>
  <c r="F408" i="29"/>
  <c r="F407" i="29"/>
  <c r="F406" i="29"/>
  <c r="F405" i="29"/>
  <c r="F404" i="29"/>
  <c r="F402" i="29"/>
  <c r="F398" i="29"/>
  <c r="F396" i="29"/>
  <c r="F393" i="29"/>
  <c r="F390" i="29"/>
  <c r="F389" i="29"/>
  <c r="F388" i="29"/>
  <c r="F387" i="29"/>
  <c r="F386" i="29"/>
  <c r="F385" i="29"/>
  <c r="F384" i="29"/>
  <c r="F383" i="29"/>
  <c r="F382" i="29"/>
  <c r="F381" i="29"/>
  <c r="F380" i="29"/>
  <c r="F379" i="29"/>
  <c r="B379" i="29"/>
  <c r="F378" i="29"/>
  <c r="F376" i="29"/>
  <c r="F375" i="29"/>
  <c r="F374" i="29"/>
  <c r="F364" i="29"/>
  <c r="F363" i="29"/>
  <c r="F362" i="29"/>
  <c r="F360" i="29"/>
  <c r="F359" i="29"/>
  <c r="F358" i="29"/>
  <c r="F357" i="29"/>
  <c r="F356" i="29"/>
  <c r="F354" i="29"/>
  <c r="F353" i="29"/>
  <c r="F352" i="29"/>
  <c r="F351" i="29"/>
  <c r="D350" i="29"/>
  <c r="F350" i="29" s="1"/>
  <c r="F349" i="29"/>
  <c r="F348" i="29"/>
  <c r="F347" i="29"/>
  <c r="F346" i="29"/>
  <c r="F345" i="29"/>
  <c r="F344" i="29"/>
  <c r="F343" i="29"/>
  <c r="D342" i="29"/>
  <c r="F342" i="29" s="1"/>
  <c r="F341" i="29"/>
  <c r="F340" i="29"/>
  <c r="D339" i="29"/>
  <c r="F339" i="29" s="1"/>
  <c r="F338" i="29"/>
  <c r="F337" i="29"/>
  <c r="F336" i="29"/>
  <c r="D335" i="29"/>
  <c r="F335" i="29" s="1"/>
  <c r="F334" i="29"/>
  <c r="F333" i="29"/>
  <c r="F332" i="29"/>
  <c r="F331" i="29"/>
  <c r="F330" i="29"/>
  <c r="F329" i="29"/>
  <c r="F328" i="29"/>
  <c r="F327" i="29"/>
  <c r="F326" i="29"/>
  <c r="F325" i="29"/>
  <c r="F324" i="29"/>
  <c r="F323" i="29"/>
  <c r="F322" i="29"/>
  <c r="F321" i="29"/>
  <c r="F320" i="29"/>
  <c r="F318" i="29"/>
  <c r="F317" i="29"/>
  <c r="F316" i="29"/>
  <c r="F315" i="29"/>
  <c r="F314" i="29"/>
  <c r="F313" i="29"/>
  <c r="F312" i="29"/>
  <c r="F311" i="29"/>
  <c r="F310" i="29"/>
  <c r="F309" i="29"/>
  <c r="F308" i="29"/>
  <c r="F306" i="29"/>
  <c r="F305" i="29"/>
  <c r="F304" i="29"/>
  <c r="F303" i="29"/>
  <c r="F302" i="29"/>
  <c r="F301" i="29"/>
  <c r="F300" i="29"/>
  <c r="D299" i="29"/>
  <c r="D307" i="29" s="1"/>
  <c r="F307" i="29" s="1"/>
  <c r="F298" i="29"/>
  <c r="F297" i="29"/>
  <c r="F296" i="29"/>
  <c r="F295" i="29"/>
  <c r="F294" i="29"/>
  <c r="F293" i="29"/>
  <c r="F292" i="29"/>
  <c r="F291" i="29"/>
  <c r="D290" i="29"/>
  <c r="F290" i="29" s="1"/>
  <c r="F288" i="29"/>
  <c r="F287" i="29"/>
  <c r="F286" i="29"/>
  <c r="F284" i="29"/>
  <c r="D282" i="29"/>
  <c r="F282" i="29" s="1"/>
  <c r="F281" i="29"/>
  <c r="F279" i="29"/>
  <c r="F278" i="29"/>
  <c r="F275" i="29"/>
  <c r="F273" i="29"/>
  <c r="F272" i="29"/>
  <c r="F271" i="29"/>
  <c r="F270" i="29"/>
  <c r="F269" i="29"/>
  <c r="F268" i="29"/>
  <c r="F267" i="29"/>
  <c r="F266" i="29"/>
  <c r="F264" i="29"/>
  <c r="F263" i="29"/>
  <c r="F259" i="29"/>
  <c r="F258" i="29"/>
  <c r="F257" i="29"/>
  <c r="F256" i="29"/>
  <c r="B256" i="29"/>
  <c r="F255" i="29"/>
  <c r="F253" i="29"/>
  <c r="F252" i="29"/>
  <c r="F251" i="29"/>
  <c r="F250" i="29"/>
  <c r="F249" i="29"/>
  <c r="F248" i="29"/>
  <c r="F247" i="29"/>
  <c r="F246" i="29"/>
  <c r="F245" i="29"/>
  <c r="F244" i="29"/>
  <c r="F243" i="29"/>
  <c r="F242" i="29"/>
  <c r="F241" i="29"/>
  <c r="F240" i="29"/>
  <c r="F239" i="29"/>
  <c r="F238" i="29"/>
  <c r="F237" i="29"/>
  <c r="F236" i="29"/>
  <c r="F235" i="29"/>
  <c r="F234" i="29"/>
  <c r="F233" i="29"/>
  <c r="F232" i="29"/>
  <c r="F231" i="29"/>
  <c r="F230" i="29"/>
  <c r="F229" i="29"/>
  <c r="F228" i="29"/>
  <c r="F227" i="29"/>
  <c r="F226" i="29"/>
  <c r="F225" i="29"/>
  <c r="F224" i="29"/>
  <c r="F223" i="29"/>
  <c r="F222" i="29"/>
  <c r="D221" i="29"/>
  <c r="F221" i="29" s="1"/>
  <c r="F220" i="29"/>
  <c r="F219" i="29"/>
  <c r="F218" i="29"/>
  <c r="F217" i="29"/>
  <c r="F216" i="29"/>
  <c r="F215" i="29"/>
  <c r="F214" i="29"/>
  <c r="F213" i="29"/>
  <c r="F212" i="29"/>
  <c r="F211" i="29"/>
  <c r="D210" i="29"/>
  <c r="F210" i="29" s="1"/>
  <c r="F209" i="29"/>
  <c r="D208" i="29"/>
  <c r="F208" i="29" s="1"/>
  <c r="F207" i="29"/>
  <c r="F206" i="29"/>
  <c r="F205" i="29"/>
  <c r="F204" i="29"/>
  <c r="F203" i="29"/>
  <c r="F202" i="29"/>
  <c r="F201" i="29"/>
  <c r="F200" i="29"/>
  <c r="D199" i="29"/>
  <c r="F199" i="29" s="1"/>
  <c r="F198" i="29"/>
  <c r="F197" i="29"/>
  <c r="F196" i="29"/>
  <c r="F195" i="29"/>
  <c r="F194" i="29"/>
  <c r="F193" i="29"/>
  <c r="F192" i="29"/>
  <c r="F191" i="29"/>
  <c r="F190" i="29"/>
  <c r="B190" i="29"/>
  <c r="F189" i="29"/>
  <c r="F187" i="29"/>
  <c r="F186" i="29"/>
  <c r="F185" i="29"/>
  <c r="F184" i="29"/>
  <c r="F183" i="29"/>
  <c r="F182" i="29"/>
  <c r="F181" i="29"/>
  <c r="F180" i="29"/>
  <c r="F178" i="29"/>
  <c r="F176" i="29"/>
  <c r="F175" i="29"/>
  <c r="F174" i="29"/>
  <c r="F173" i="29"/>
  <c r="F172" i="29"/>
  <c r="D170" i="29"/>
  <c r="F170" i="29" s="1"/>
  <c r="F169" i="29"/>
  <c r="F168" i="29"/>
  <c r="D167" i="29"/>
  <c r="F167" i="29" s="1"/>
  <c r="F166" i="29"/>
  <c r="F165" i="29"/>
  <c r="F164" i="29"/>
  <c r="F163" i="29"/>
  <c r="F162" i="29"/>
  <c r="F161" i="29"/>
  <c r="D160" i="29"/>
  <c r="F160" i="29" s="1"/>
  <c r="F159" i="29"/>
  <c r="F158" i="29"/>
  <c r="D157" i="29"/>
  <c r="F157" i="29" s="1"/>
  <c r="F156" i="29"/>
  <c r="F155" i="29"/>
  <c r="F154" i="29"/>
  <c r="F153" i="29"/>
  <c r="D152" i="29"/>
  <c r="F152" i="29" s="1"/>
  <c r="F151" i="29"/>
  <c r="F150" i="29"/>
  <c r="F149" i="29"/>
  <c r="F148" i="29"/>
  <c r="F147" i="29"/>
  <c r="F146" i="29"/>
  <c r="D145" i="29"/>
  <c r="F145" i="29" s="1"/>
  <c r="F144" i="29"/>
  <c r="D143" i="29"/>
  <c r="F143" i="29" s="1"/>
  <c r="F142" i="29"/>
  <c r="F141" i="29"/>
  <c r="F140" i="29"/>
  <c r="D139" i="29"/>
  <c r="F139" i="29" s="1"/>
  <c r="F138" i="29"/>
  <c r="F137" i="29"/>
  <c r="D136" i="29"/>
  <c r="F136" i="29" s="1"/>
  <c r="F135" i="29"/>
  <c r="F134" i="29"/>
  <c r="F133" i="29"/>
  <c r="F132" i="29"/>
  <c r="F131" i="29"/>
  <c r="F130" i="29"/>
  <c r="F129" i="29"/>
  <c r="F128" i="29"/>
  <c r="F127" i="29"/>
  <c r="F126" i="29"/>
  <c r="D125" i="29"/>
  <c r="F125" i="29" s="1"/>
  <c r="F124" i="29"/>
  <c r="F123" i="29"/>
  <c r="F122" i="29"/>
  <c r="F120" i="29"/>
  <c r="F119" i="29"/>
  <c r="F118" i="29"/>
  <c r="F117" i="29"/>
  <c r="D116" i="29"/>
  <c r="F116" i="29" s="1"/>
  <c r="F115" i="29"/>
  <c r="D114" i="29"/>
  <c r="F114" i="29" s="1"/>
  <c r="F113" i="29"/>
  <c r="F112" i="29"/>
  <c r="D112" i="29"/>
  <c r="F111" i="29"/>
  <c r="F110" i="29"/>
  <c r="F109" i="29"/>
  <c r="D108" i="29"/>
  <c r="F108" i="29" s="1"/>
  <c r="F107" i="29"/>
  <c r="D106" i="29"/>
  <c r="F106" i="29" s="1"/>
  <c r="F105" i="29"/>
  <c r="F104" i="29"/>
  <c r="F103" i="29"/>
  <c r="F102" i="29"/>
  <c r="F101" i="29"/>
  <c r="E100" i="29"/>
  <c r="D100" i="29"/>
  <c r="F99" i="29"/>
  <c r="F98" i="29"/>
  <c r="F97" i="29"/>
  <c r="F96" i="29"/>
  <c r="F95" i="29"/>
  <c r="F94" i="29"/>
  <c r="B94" i="29"/>
  <c r="F93" i="29"/>
  <c r="F92" i="29"/>
  <c r="F91" i="29"/>
  <c r="F89" i="29"/>
  <c r="F88" i="29"/>
  <c r="F87" i="29"/>
  <c r="F85" i="29"/>
  <c r="F84" i="29"/>
  <c r="F83" i="29"/>
  <c r="F82" i="29"/>
  <c r="F81" i="29"/>
  <c r="F80" i="29"/>
  <c r="F78" i="29"/>
  <c r="F77" i="29"/>
  <c r="F76" i="29"/>
  <c r="F75" i="29"/>
  <c r="F74" i="29"/>
  <c r="F73" i="29"/>
  <c r="F71" i="29"/>
  <c r="F70" i="29"/>
  <c r="F69" i="29"/>
  <c r="F68" i="29"/>
  <c r="F67" i="29"/>
  <c r="F66" i="29"/>
  <c r="D65" i="29"/>
  <c r="D72" i="29" s="1"/>
  <c r="F64" i="29"/>
  <c r="D63" i="29"/>
  <c r="F63" i="29" s="1"/>
  <c r="F62" i="29"/>
  <c r="F61" i="29"/>
  <c r="F60" i="29"/>
  <c r="F59" i="29"/>
  <c r="F57" i="29"/>
  <c r="F56" i="29"/>
  <c r="F53" i="29"/>
  <c r="F52" i="29"/>
  <c r="F51" i="29"/>
  <c r="F50" i="29"/>
  <c r="F49" i="29"/>
  <c r="F48" i="29"/>
  <c r="F47" i="29"/>
  <c r="F46" i="29"/>
  <c r="D45" i="29"/>
  <c r="F45" i="29" s="1"/>
  <c r="F44" i="29"/>
  <c r="F43" i="29"/>
  <c r="D42" i="29"/>
  <c r="F41" i="29"/>
  <c r="F40" i="29"/>
  <c r="F39" i="29"/>
  <c r="F38" i="29"/>
  <c r="F37" i="29"/>
  <c r="F36" i="29"/>
  <c r="F35" i="29"/>
  <c r="F34" i="29"/>
  <c r="F33" i="29"/>
  <c r="F32" i="29"/>
  <c r="F31" i="29"/>
  <c r="F30" i="29"/>
  <c r="F29" i="29"/>
  <c r="F28" i="29"/>
  <c r="B28" i="29"/>
  <c r="F27" i="29"/>
  <c r="F26" i="29"/>
  <c r="B26" i="29"/>
  <c r="F25" i="29"/>
  <c r="B25" i="29"/>
  <c r="F24" i="29"/>
  <c r="F23" i="29"/>
  <c r="F22" i="29"/>
  <c r="F21" i="29"/>
  <c r="F20" i="29"/>
  <c r="F18" i="29"/>
  <c r="F17" i="29"/>
  <c r="F16" i="29"/>
  <c r="F15" i="29"/>
  <c r="F14" i="29"/>
  <c r="F13" i="29"/>
  <c r="F12" i="29"/>
  <c r="F516" i="29" l="1"/>
  <c r="F595" i="29" s="1"/>
  <c r="D355" i="29"/>
  <c r="F355" i="29" s="1"/>
  <c r="F452" i="29"/>
  <c r="F593" i="29" s="1"/>
  <c r="F19" i="29"/>
  <c r="F581" i="29" s="1"/>
  <c r="F573" i="29"/>
  <c r="F597" i="29" s="1"/>
  <c r="F65" i="29"/>
  <c r="F100" i="29"/>
  <c r="F188" i="29" s="1"/>
  <c r="F585" i="29" s="1"/>
  <c r="F72" i="29"/>
  <c r="D121" i="29"/>
  <c r="F121" i="29" s="1"/>
  <c r="D79" i="29"/>
  <c r="F254" i="29"/>
  <c r="F587" i="29" s="1"/>
  <c r="F299" i="29"/>
  <c r="F42" i="29"/>
  <c r="D54" i="29"/>
  <c r="F54" i="29" s="1"/>
  <c r="D361" i="29" l="1"/>
  <c r="F361" i="29" s="1"/>
  <c r="F377" i="29" s="1"/>
  <c r="F591" i="29" s="1"/>
  <c r="F319" i="29"/>
  <c r="F589" i="29" s="1"/>
  <c r="D58" i="29"/>
  <c r="F58" i="29" s="1"/>
  <c r="F79" i="29"/>
  <c r="D86" i="29"/>
  <c r="F86" i="29" s="1"/>
  <c r="F90" i="29" l="1"/>
  <c r="F583" i="29" s="1"/>
  <c r="F605" i="29" s="1"/>
  <c r="F612" i="29" s="1"/>
</calcChain>
</file>

<file path=xl/sharedStrings.xml><?xml version="1.0" encoding="utf-8"?>
<sst xmlns="http://schemas.openxmlformats.org/spreadsheetml/2006/main" count="5164" uniqueCount="1938">
  <si>
    <t>ITEM</t>
  </si>
  <si>
    <t>DESCRIPTION</t>
  </si>
  <si>
    <t>UNIT</t>
  </si>
  <si>
    <t>B</t>
  </si>
  <si>
    <t>M</t>
  </si>
  <si>
    <t>No.</t>
  </si>
  <si>
    <t>C</t>
  </si>
  <si>
    <t>D</t>
  </si>
  <si>
    <t>E</t>
  </si>
  <si>
    <t>H</t>
  </si>
  <si>
    <t>F</t>
  </si>
  <si>
    <t>I</t>
  </si>
  <si>
    <t>No</t>
  </si>
  <si>
    <t>A</t>
  </si>
  <si>
    <t>G</t>
  </si>
  <si>
    <t>J</t>
  </si>
  <si>
    <t>K</t>
  </si>
  <si>
    <t>L</t>
  </si>
  <si>
    <t>Floor Finishes</t>
  </si>
  <si>
    <t>Kg</t>
  </si>
  <si>
    <t>ITEM NO.</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</si>
  <si>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</si>
  <si>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</si>
  <si>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</si>
  <si>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</si>
  <si>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</si>
  <si>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</si>
  <si>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</si>
  <si>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Disposal</t>
  </si>
  <si>
    <t xml:space="preserve">Return, fill and ram selected excavated material around </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</si>
  <si>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</si>
  <si>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</si>
  <si>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</si>
  <si>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</si>
  <si>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</si>
  <si>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</si>
  <si>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</si>
  <si>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</si>
  <si>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</si>
  <si>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</si>
  <si>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</si>
  <si>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</si>
  <si>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</si>
  <si>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</si>
  <si>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</si>
  <si>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Reinforcement, as described:-[PROVISIONAL]</t>
  </si>
  <si>
    <t>High yield square twisted reinforcement bars to B.S 4461</t>
  </si>
  <si>
    <t xml:space="preserve">Fabric ref. A142 weighing 2.22kg/ sq.metre, in surface </t>
  </si>
  <si>
    <t>bed</t>
  </si>
  <si>
    <t>Sawn formwork as described to:-</t>
  </si>
  <si>
    <t>LM</t>
  </si>
  <si>
    <t xml:space="preserve">200x400mm hollow block walling bedded and jointed in </t>
  </si>
  <si>
    <t>cement and sand (1:4) mortar, reinforcement with and</t>
  </si>
  <si>
    <t xml:space="preserve">including 25mm wide x 20 gauge hoop iron at every </t>
  </si>
  <si>
    <t>alternate course as described in:</t>
  </si>
  <si>
    <t>15 mm cement and sand (1:3) render, finished with</t>
  </si>
  <si>
    <t>woodfloat to:-</t>
  </si>
  <si>
    <t>Concrete or masonry surfaces internally and externally</t>
  </si>
  <si>
    <t>Cement and sand (1:3) screeds, backings, beds etc</t>
  </si>
  <si>
    <t>DOORS</t>
  </si>
  <si>
    <t>MAIN SUMMARY</t>
  </si>
  <si>
    <t>PAGE</t>
  </si>
  <si>
    <t>SECTION 1</t>
  </si>
  <si>
    <t>PRELIMINARIES</t>
  </si>
  <si>
    <t>SECTION NO. 1</t>
  </si>
  <si>
    <t>SECTION NO. 2</t>
  </si>
  <si>
    <t>SECTION NO. 3</t>
  </si>
  <si>
    <t>SECTION NO. 4</t>
  </si>
  <si>
    <t>The site of the works shall be used solely for the purpose of executing and completing the</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</si>
  <si>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</si>
  <si>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</si>
  <si>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</si>
  <si>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</si>
  <si>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</si>
  <si>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</si>
  <si>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 xml:space="preserve">materials found on the Site. Any such material utilized in the execution of the Contract shall be </t>
  </si>
  <si>
    <t xml:space="preserve">measured and value assessed by the Quantity Surveyor and the amount credited to the </t>
  </si>
  <si>
    <t xml:space="preserve">Employer.   </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</si>
  <si>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</si>
  <si>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</si>
  <si>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</si>
  <si>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</si>
  <si>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</si>
  <si>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</si>
  <si>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</si>
  <si>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</si>
  <si>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</si>
  <si>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</si>
  <si>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</si>
  <si>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</si>
  <si>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</si>
  <si>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</si>
  <si>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</si>
  <si>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directions and instructions shall be deemed given to the Contractor in accordance with the </t>
  </si>
  <si>
    <t xml:space="preserve">Conditions of Contract. The Agent shall not be replaced without the specific approval of the </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</si>
  <si>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</si>
  <si>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</si>
  <si>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</si>
  <si>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</si>
  <si>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</si>
  <si>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</si>
  <si>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proposed Representative.  A curriculum vitae of past experience and qualifications must be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</si>
  <si>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</si>
  <si>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</si>
  <si>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</si>
  <si>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</si>
  <si>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</si>
  <si>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</si>
  <si>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</si>
  <si>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</si>
  <si>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</si>
  <si>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</si>
  <si>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</si>
  <si>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</si>
  <si>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</si>
  <si>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</si>
  <si>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</si>
  <si>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</si>
  <si>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</si>
  <si>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</si>
  <si>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</si>
  <si>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</si>
  <si>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</si>
  <si>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</si>
  <si>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</si>
  <si>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</si>
  <si>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</si>
  <si>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</si>
  <si>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</si>
  <si>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</si>
  <si>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</si>
  <si>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</si>
  <si>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</si>
  <si>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</si>
  <si>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</si>
  <si>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</si>
  <si>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</si>
  <si>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</si>
  <si>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</si>
  <si>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</si>
  <si>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</si>
  <si>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</si>
  <si>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</si>
  <si>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</si>
  <si>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</si>
  <si>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</si>
  <si>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</si>
  <si>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</si>
  <si>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</si>
  <si>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</si>
  <si>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</si>
  <si>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</si>
  <si>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</si>
  <si>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</si>
  <si>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</si>
  <si>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</si>
  <si>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</si>
  <si>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</si>
  <si>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</si>
  <si>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</si>
  <si>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</si>
  <si>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</si>
  <si>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BEAMS</t>
  </si>
  <si>
    <t>Ring beam 1</t>
  </si>
  <si>
    <t>COLUMNS</t>
  </si>
  <si>
    <t>Columns bases</t>
  </si>
  <si>
    <t>Starter columns</t>
  </si>
  <si>
    <t>SLABS</t>
  </si>
  <si>
    <t xml:space="preserve">200mm thick surface bed laid in bays including all </t>
  </si>
  <si>
    <t>GROUND BEAM</t>
  </si>
  <si>
    <t xml:space="preserve">Y12 (Nominal Diameter 12mm) bars as main bars, </t>
  </si>
  <si>
    <t>Cross-Sectional Area (113mm2), Mass per unit length (0.888kg/m)</t>
  </si>
  <si>
    <t xml:space="preserve">R8 (Nominal Diameter 8mm) bars as rings, </t>
  </si>
  <si>
    <t>Cross-Sectional Area (50.3mm2), Mass per unit length (0.395kg/m)</t>
  </si>
  <si>
    <t>RING BEAM 1</t>
  </si>
  <si>
    <t>Ditto for Y12 as main bars</t>
  </si>
  <si>
    <t>Ditto for R8 as rings</t>
  </si>
  <si>
    <t>COLUMN BASES</t>
  </si>
  <si>
    <t>STARTER COLUMNS</t>
  </si>
  <si>
    <t xml:space="preserve">Reference A142 mesh 200 x 200 mm , weight 2.22 kgs per </t>
  </si>
  <si>
    <t>square meter ( measured net - no allowance made for laps</t>
  </si>
  <si>
    <t>(inclunding bends, tying wire and distance blocks)</t>
  </si>
  <si>
    <t>Ditto to sides and soffits of roof slab</t>
  </si>
  <si>
    <t>ELEMENT NO. 4 : WALLING</t>
  </si>
  <si>
    <t>cement sand mortar (1:4)</t>
  </si>
  <si>
    <t>400mm thick rubble stone foundation walling</t>
  </si>
  <si>
    <t>SUPER-STRUCTURE WALLING</t>
  </si>
  <si>
    <t xml:space="preserve">Lightweight water proofed screeds and plaster </t>
  </si>
  <si>
    <t>Painting</t>
  </si>
  <si>
    <t xml:space="preserve">Fill uneven surfaces with stucco filler to approval and apply </t>
  </si>
  <si>
    <t xml:space="preserve">two coats soft white external textured paint to: </t>
  </si>
  <si>
    <t>Plastered and rendered surfaces</t>
  </si>
  <si>
    <t>Plastered surfaces internally and externally</t>
  </si>
  <si>
    <t xml:space="preserve">Lighting Fittings </t>
  </si>
  <si>
    <t xml:space="preserve">Supply and install following lighting fixtures with all accessories </t>
  </si>
  <si>
    <t xml:space="preserve">as per the specifications and drawings and complete with lamp </t>
  </si>
  <si>
    <t xml:space="preserve">fitting and accessories of Engineer or approved make. </t>
  </si>
  <si>
    <t>150W LED floodlight</t>
  </si>
  <si>
    <t xml:space="preserve">Switches </t>
  </si>
  <si>
    <t xml:space="preserve">Socket outlets </t>
  </si>
  <si>
    <t xml:space="preserve">Supply and installation of fused shuttered switched socket outlet </t>
  </si>
  <si>
    <t xml:space="preserve">to comply with relevant BS standard (Clipsal, Orange, Crabtree/ </t>
  </si>
  <si>
    <t xml:space="preserve">Tenby/ABB or equivalent). Wiring (including supply of earth wire </t>
  </si>
  <si>
    <t xml:space="preserve">and all other material required) of above socket outlet using approved </t>
  </si>
  <si>
    <t xml:space="preserve">type 2.5mm² PVC/PVC copper cable and 2.5mm² earth wire  drawn </t>
  </si>
  <si>
    <t>through securely fixed concealed PVC conduit in a ring circuit.</t>
  </si>
  <si>
    <t>Socket outlet points</t>
  </si>
  <si>
    <t>13 A twin sockets outlet</t>
  </si>
  <si>
    <t>Cables, Cable pathways and Conduits</t>
  </si>
  <si>
    <t xml:space="preserve">Supply, install, test and commission 450/750 volts 6491X cables with </t>
  </si>
  <si>
    <t xml:space="preserve">all required accessories for proper installation and operation including </t>
  </si>
  <si>
    <t>conduits, pipes( each cable in separate conduit or pipe), cable lugs,</t>
  </si>
  <si>
    <t xml:space="preserve">ties... etc.  as shown on drawing, as per the preamble, the specifications </t>
  </si>
  <si>
    <t>and supervision engineer's requirements.</t>
  </si>
  <si>
    <t>Supply, install and connect complete 1.5 sq. mm colour-coded SC</t>
  </si>
  <si>
    <t xml:space="preserve">cables to lighting points drawn in Concealed /surface 20mm HG PVC </t>
  </si>
  <si>
    <t xml:space="preserve">conduits, complete with draw boxes, switch boxes and other necessary </t>
  </si>
  <si>
    <t>accessories.</t>
  </si>
  <si>
    <t>Supply and install two compartment floor recessed metallic electrical</t>
  </si>
  <si>
    <t xml:space="preserve">floor box with flap cover complete with lifting handle, cable cable flaps, </t>
  </si>
  <si>
    <t>ELEMENT NO. 9 : OPENINGS</t>
  </si>
  <si>
    <t>Grand Total</t>
  </si>
  <si>
    <t>TOTAL FOR SECTION 5: CARRIED TO GRAND SUMMARY</t>
  </si>
  <si>
    <t>Column bases</t>
  </si>
  <si>
    <t xml:space="preserve">Ditto </t>
  </si>
  <si>
    <t>Ditto:</t>
  </si>
  <si>
    <t>Suspended slab</t>
  </si>
  <si>
    <t xml:space="preserve">SIGNED:  </t>
  </si>
  <si>
    <t>SIGNED:</t>
  </si>
  <si>
    <t>ROOF SLAB</t>
  </si>
  <si>
    <t>Y12 (Nominal Diameter 12mm) bars as main bars bottom 1</t>
  </si>
  <si>
    <t>SECTION NO. 5</t>
  </si>
  <si>
    <t>SECTION NO. 6</t>
  </si>
  <si>
    <t>TOTAL AMOUNT CARRIED TO FORM OF TENDER</t>
  </si>
  <si>
    <t xml:space="preserve">Excavate trench for foundation not exceeding 1.50 </t>
  </si>
  <si>
    <t xml:space="preserve">50mm blinding </t>
  </si>
  <si>
    <t xml:space="preserve">Insitu concrete class 25/20 , vibrated and reinforced as described, in:- </t>
  </si>
  <si>
    <t>Columns (Height 3m)</t>
  </si>
  <si>
    <t>3m HIGH COLUMNS</t>
  </si>
  <si>
    <t>SUB-STRUCTURE WALLING</t>
  </si>
  <si>
    <t xml:space="preserve">Approved compacted hardcore fill bedded and jointed in </t>
  </si>
  <si>
    <t xml:space="preserve">200 mm thick reinforced in every third course </t>
  </si>
  <si>
    <t>Horizontal Damp Proof Course:one layer of 3-ply bituminous felt</t>
  </si>
  <si>
    <t>or other equal approved (measured nett-allow for laps)</t>
  </si>
  <si>
    <t xml:space="preserve">200mm wide; B.S. 743 Type A bitumen hessian base 150 mm laps </t>
  </si>
  <si>
    <t xml:space="preserve">(no allowance made for laps); horizontal, 1 no. layer, bedded in </t>
  </si>
  <si>
    <t>cement sand (1:3) mortar</t>
  </si>
  <si>
    <t>PCC coping above parapet wall</t>
  </si>
  <si>
    <t>ROOF STRUCTURE (CONCRETE FLAT ROOF AREA)</t>
  </si>
  <si>
    <t xml:space="preserve">Prepare and apply APP high performance waterproofing </t>
  </si>
  <si>
    <t xml:space="preserve">membrane obtained from an approved manufacturer and </t>
  </si>
  <si>
    <t>applied according to the manufacturer's instructions</t>
  </si>
  <si>
    <t>Dress membrane round 100mm rainwater outlet (provisional)</t>
  </si>
  <si>
    <t>Rain water goods</t>
  </si>
  <si>
    <t>as storm water drainage</t>
  </si>
  <si>
    <t>Allow for GI stair fixed to wall to access roof</t>
  </si>
  <si>
    <t xml:space="preserve">25mm Thick cement/sand (1:4) screed to receive Ceramic </t>
  </si>
  <si>
    <t>floor tiles (measured separately)</t>
  </si>
  <si>
    <t xml:space="preserve">Rustic 300x300mm ceramic Tiles from approved supplier fixed </t>
  </si>
  <si>
    <t xml:space="preserve">with 'seal master 101' or equal and approved tile adhesive: </t>
  </si>
  <si>
    <t>approved detergent and apply 'Johnson wax' polish: allow for</t>
  </si>
  <si>
    <t xml:space="preserve">Floor tiles </t>
  </si>
  <si>
    <t xml:space="preserve">Skirtings; </t>
  </si>
  <si>
    <t xml:space="preserve">100mm wide with rounded junction with wall finish and coved junction </t>
  </si>
  <si>
    <t>with floor finish</t>
  </si>
  <si>
    <t>Ditto for edge of steps and slab</t>
  </si>
  <si>
    <t>Wall Finish</t>
  </si>
  <si>
    <t>Ditto to soffits of suspended slabs</t>
  </si>
  <si>
    <t>ELEMENT NO. 7 : ELECTRICAL INSTALLATIONS</t>
  </si>
  <si>
    <t>5 Amps one gang one way switch</t>
  </si>
  <si>
    <t>5 Amps two gang one way switch</t>
  </si>
  <si>
    <t>ELEMENT NO. 8 : PLUMBING INSTALLATIONS</t>
  </si>
  <si>
    <t xml:space="preserve">Sanitary appliances complete with all the connections to services, </t>
  </si>
  <si>
    <t xml:space="preserve">waste, jointing to supply overflows and plugging and scewing </t>
  </si>
  <si>
    <t xml:space="preserve">to the floors. Where trade names are mentioned below, the </t>
  </si>
  <si>
    <t xml:space="preserve">reference is intended to be as a guide to the type of fitting. </t>
  </si>
  <si>
    <t>Supply and install heavy duty PPR pipes including all connections</t>
  </si>
  <si>
    <t>WINDOWS</t>
  </si>
  <si>
    <t xml:space="preserve">Precast concrete window cill size 260 x 50mm Thick sunk - weathered </t>
  </si>
  <si>
    <t>and throated and bedded and jointed in cement sand mortar</t>
  </si>
  <si>
    <t xml:space="preserve">Supply delivery and fix the following ironmongery </t>
  </si>
  <si>
    <t>with matching screws</t>
  </si>
  <si>
    <t>100mm heavy duty butt hinges</t>
  </si>
  <si>
    <t xml:space="preserve">3 lever mortice lock as Union 2277complete with </t>
  </si>
  <si>
    <t>Union 2277 683 -06 -2 brass lever furniture</t>
  </si>
  <si>
    <t xml:space="preserve">Type W1 - 1x36w Surface mounted waterproof polycarbonate </t>
  </si>
  <si>
    <t>flourescent light fitting</t>
  </si>
  <si>
    <t xml:space="preserve">Prepare and apply two undercoats of brilliant white emulsion paint </t>
  </si>
  <si>
    <t xml:space="preserve">(RAL Code 9001) and two finishing coats of first quality brilliant white </t>
  </si>
  <si>
    <t xml:space="preserve">Silk Vinyl emulsion paint (RAL Code 9001) to;- </t>
  </si>
  <si>
    <t xml:space="preserve">Water closet (W.C.) suite in white vitreous china comprising: </t>
  </si>
  <si>
    <t xml:space="preserve">Glazed W.C. pan with heavy duty unbreakable plastic seat and cover, </t>
  </si>
  <si>
    <t xml:space="preserve">close couple cistern and fittings, 6.0 litres, including chrome lever and </t>
  </si>
  <si>
    <t xml:space="preserve">cover clip and WC outlet connector. The cistern to have internal overflow. </t>
  </si>
  <si>
    <t>Water closet pan to be as 'Twyford classic' or equal and approved</t>
  </si>
  <si>
    <t xml:space="preserve">Pedestal wash hand basin in white vitreous china size 500x400 mm </t>
  </si>
  <si>
    <t xml:space="preserve">complete with 'Aztec' chromed taps and handles, a 32mm diameter </t>
  </si>
  <si>
    <t xml:space="preserve">chrome plated pop-up waste and a 32mm Caradon Terrain' plastic </t>
  </si>
  <si>
    <t xml:space="preserve">bottle trap. Wash hand basin to be as 'Twyford Galerie Design' or equal </t>
  </si>
  <si>
    <t>and approved</t>
  </si>
  <si>
    <t xml:space="preserve">Recessed toilet roll holder in white vitreous china size 150x150 mm. </t>
  </si>
  <si>
    <t>To be as 'Twyford' or equal and approved</t>
  </si>
  <si>
    <t xml:space="preserve">Wall-mounted push-button soap dispenser complete with initial charge </t>
  </si>
  <si>
    <t xml:space="preserve">and mounting brackets. Soap dispenser to be as 'Star mix' or equal </t>
  </si>
  <si>
    <t xml:space="preserve">6 mm thick polished beveled plate glass mirror size 610x610 mm on </t>
  </si>
  <si>
    <t xml:space="preserve">foam and 6 mm plywood timber backing in hard wood timber framing </t>
  </si>
  <si>
    <t>fixed on wall with dome headed brass screws</t>
  </si>
  <si>
    <t>Supply, deliver and install pipes, tubing and fittings as described and</t>
  </si>
  <si>
    <t xml:space="preserve"> shown on the drawings. The pipes shall be PPR PN 20 pipes and all </t>
  </si>
  <si>
    <t xml:space="preserve">conforming to the current European standards for PPR installations and </t>
  </si>
  <si>
    <t xml:space="preserve">to the Engineers approval, pipe jointing shall be by polyfusion or use of </t>
  </si>
  <si>
    <t xml:space="preserve">electric coupling and to manufacturer's printed instructions. Rates must </t>
  </si>
  <si>
    <t xml:space="preserve">allow for all Metal/plastic threaded adaptors where required, valves, </t>
  </si>
  <si>
    <t xml:space="preserve">unions, sockets, sliding and fixed joints, support raceways, isolating </t>
  </si>
  <si>
    <t xml:space="preserve">sheaths, elastic material, expansion arms and bends, crossovers, couplings, </t>
  </si>
  <si>
    <t xml:space="preserve">clippings, connectors, joints and for the connection of sanitary fixtures etc. </t>
  </si>
  <si>
    <t xml:space="preserve">as required in the running lengths of pipework and also where necessary, </t>
  </si>
  <si>
    <t xml:space="preserve">for pipe fixing clips, holder bats plugged and screwed for the proper and </t>
  </si>
  <si>
    <t xml:space="preserve">satisfactory functioning of the system. The pipes will be pressure tested </t>
  </si>
  <si>
    <t xml:space="preserve">before the plastering of wall commences and as per the manufacturers  </t>
  </si>
  <si>
    <t xml:space="preserve">recommended testing procedures. The sizes indicated are the minimum </t>
  </si>
  <si>
    <t>bore sizes.</t>
  </si>
  <si>
    <t>SANITARY INSTALLATIONS</t>
  </si>
  <si>
    <t>PIPING</t>
  </si>
  <si>
    <t>30mm average plaster gutter walls</t>
  </si>
  <si>
    <t xml:space="preserve">50mm average screed laid to falls and cross falls to </t>
  </si>
  <si>
    <t>gutter slabs</t>
  </si>
  <si>
    <t>50x50mm triangular fillet</t>
  </si>
  <si>
    <t xml:space="preserve">Extruded anodised aluminium sliding frame 80x50mm mosquito </t>
  </si>
  <si>
    <t xml:space="preserve">netting and fabricated aluminium burglar proof grill with 6mm thick </t>
  </si>
  <si>
    <t>glass with blue anti-glare film.</t>
  </si>
  <si>
    <t>Overall size 800 x 600mm high</t>
  </si>
  <si>
    <t>45mm thick solid core flush door to B.S 459: parts faced both</t>
  </si>
  <si>
    <t>sides with 6mm mahogany veneered plywood and lipped on</t>
  </si>
  <si>
    <t>all edges in hardwood,  including all planted moulding.</t>
  </si>
  <si>
    <t>To edge of floor slab and steps</t>
  </si>
  <si>
    <t xml:space="preserve">Allow for 100mm dia. Fulbora outlet including 100mm heavy duty PVC pipe </t>
  </si>
  <si>
    <t>PCC Vent blocks</t>
  </si>
  <si>
    <t>Type 4S - 2x18w surface mount flourescent light fitting</t>
  </si>
  <si>
    <t xml:space="preserve">Type 4S - 4x18w surface mount flourescent light fitting as </t>
  </si>
  <si>
    <t>Phillips or equivalent</t>
  </si>
  <si>
    <t>as Crabtree Britmac or equal and approved</t>
  </si>
  <si>
    <t>Complete with heavy duty hinges, brass locks and glass ventilight</t>
  </si>
  <si>
    <t>Ditto: Double door</t>
  </si>
  <si>
    <t>50mm thick single door overall size 900x2400mm high</t>
  </si>
  <si>
    <t>50mm thick double door overall size 1200x2400mm high</t>
  </si>
  <si>
    <t>IRONMONGERY</t>
  </si>
  <si>
    <t>tile spacers: on</t>
  </si>
  <si>
    <t xml:space="preserve">jointed and pointed in 'seal master 201' grout: clean with </t>
  </si>
  <si>
    <t xml:space="preserve">Supply, Deliver, Install, Test and Commission the following AC indoor units </t>
  </si>
  <si>
    <t xml:space="preserve">including with all accessories including all connections as described. </t>
  </si>
  <si>
    <t>HVAC</t>
  </si>
  <si>
    <t xml:space="preserve">power input: 0.15kW, single phase, Refrigerant R-410A complete with all hanging </t>
  </si>
  <si>
    <t xml:space="preserve">accessories, remote control, filter chamber, drain pump kit, suction canvas, ceiling </t>
  </si>
  <si>
    <t xml:space="preserve">panel, wiring from DP switch to fan coil unit, fabricated steel mounting brackets, </t>
  </si>
  <si>
    <t xml:space="preserve">steel frames and raw bolts, anti-vibration mountings. DP switch to be positioned </t>
  </si>
  <si>
    <t xml:space="preserve">next to the in door unit. The  indoor unit shall be to Daikin/Toshiba/LG make or </t>
  </si>
  <si>
    <t>approved equivalent.</t>
  </si>
  <si>
    <t xml:space="preserve">Wall mounted unit of cooling capacity: 12.3kW with inbuilt drain pump, </t>
  </si>
  <si>
    <t>Ditto for dwarf wall</t>
  </si>
  <si>
    <t>Allow for structured cabling with network points as described neatly</t>
  </si>
  <si>
    <t>concealed in 4x2" metal trunking</t>
  </si>
  <si>
    <t>GRANT No. ……………………………………….</t>
  </si>
  <si>
    <t>PROPOSED ……………………………………....</t>
  </si>
  <si>
    <t>…….………………………………….. DISTRICT</t>
  </si>
  <si>
    <t>Overall size 1500 x1200mm high</t>
  </si>
  <si>
    <t>Total</t>
  </si>
  <si>
    <t xml:space="preserve">50mm thick Quarry dust  blinding to surfaces of hardcore :rolled smooth to receive polytheen sheeting (m.s) </t>
  </si>
  <si>
    <t>RATE</t>
  </si>
  <si>
    <t>ROOF COVERING AND RAINWATER DISPOSAL</t>
  </si>
  <si>
    <t xml:space="preserve">          -   </t>
  </si>
  <si>
    <t xml:space="preserve">                  -   </t>
  </si>
  <si>
    <t>(PROVISIONAL)</t>
  </si>
  <si>
    <t>Roof covering</t>
  </si>
  <si>
    <t>28 gauge pre painted galvanized corrugated iron sheets on timber structure (ms)</t>
  </si>
  <si>
    <t>Ridge or hip cap, 28 gauge prepainted</t>
  </si>
  <si>
    <t>Structural Timbers</t>
  </si>
  <si>
    <t xml:space="preserve">SAWN TREATED CYPRESS, Grade S50, pressure </t>
  </si>
  <si>
    <t>impregnated (Provisional)</t>
  </si>
  <si>
    <t>100 x 50 mm as trussed rafters, joists and struts</t>
  </si>
  <si>
    <t>75x50mm purlins</t>
  </si>
  <si>
    <t>50 x 150 mm Hip rafters</t>
  </si>
  <si>
    <t>Ditto, wall plate</t>
  </si>
  <si>
    <t>25 x 150mm splice plates</t>
  </si>
  <si>
    <t>25 x 200mm Ridge board</t>
  </si>
  <si>
    <t>Mild steel</t>
  </si>
  <si>
    <t>100 × 100 × 100 × 3mm thick angle cleat nailed to timber</t>
  </si>
  <si>
    <t>NO</t>
  </si>
  <si>
    <t>Boarding</t>
  </si>
  <si>
    <t xml:space="preserve">WROT CYPRESS, Prime Grade </t>
  </si>
  <si>
    <t xml:space="preserve">25x50mm tongued and grooved boarding to eaves  </t>
  </si>
  <si>
    <t>32 x 250 mm Fascia board fixed to rafters</t>
  </si>
  <si>
    <t>Painting and decorating</t>
  </si>
  <si>
    <t>Knot, prime, stop and apply 3 coats polyurethane varnish to eaves boarding</t>
  </si>
  <si>
    <t>Ditto but 3 coats gloss oil paint to fascia board 100-200mm girth</t>
  </si>
  <si>
    <t>Rainwater disposal</t>
  </si>
  <si>
    <t>150x150mm 24gauge galvanized mild steel box gutter with galvanized steel brackets at 600mm centers</t>
  </si>
  <si>
    <t xml:space="preserve"> fixed to fascia board (ms)</t>
  </si>
  <si>
    <t xml:space="preserve">Ditto, 100mm diameter down pipe fixed with brackets to wall at 1000mm maximum centers </t>
  </si>
  <si>
    <t xml:space="preserve">Extra over ditto for 600mm swanneck projection </t>
  </si>
  <si>
    <t>Ditto shoe</t>
  </si>
  <si>
    <t>Knot, prime, stop and apply 3 coats oil paint externally to:</t>
  </si>
  <si>
    <t>Timber fascia 200-300mm girth</t>
  </si>
  <si>
    <t>Metal gutter</t>
  </si>
  <si>
    <t>Prepare and apply bituminous paint to inside of gutter</t>
  </si>
  <si>
    <t>Worked Quantities</t>
  </si>
  <si>
    <t>Comparable Rates</t>
  </si>
  <si>
    <t>SECTION 2: MAIN BLOCK</t>
  </si>
  <si>
    <r>
      <t>m</t>
    </r>
    <r>
      <rPr>
        <vertAlign val="superscript"/>
        <sz val="11"/>
        <color indexed="8"/>
        <rFont val="Calibri"/>
        <family val="2"/>
      </rPr>
      <t>2</t>
    </r>
  </si>
  <si>
    <r>
      <t>m</t>
    </r>
    <r>
      <rPr>
        <vertAlign val="superscript"/>
        <sz val="11"/>
        <color indexed="8"/>
        <rFont val="Calibri"/>
        <family val="2"/>
      </rPr>
      <t>3</t>
    </r>
  </si>
  <si>
    <t>Ground beam(Strip Footing)</t>
  </si>
  <si>
    <t xml:space="preserve">Y8 (Nominal Diameter 8mm) </t>
  </si>
  <si>
    <t xml:space="preserve">Y10 (Nominal Diameter 10mm) </t>
  </si>
  <si>
    <r>
      <t>m</t>
    </r>
    <r>
      <rPr>
        <vertAlign val="superscript"/>
        <sz val="11"/>
        <rFont val="Calibri"/>
        <family val="2"/>
      </rPr>
      <t>2</t>
    </r>
  </si>
  <si>
    <t>ELEMENT NO. 5 :  ROOF AND ROOF FINISHES</t>
  </si>
  <si>
    <t>ROOF COVERING AND RAINWATER DISPOSAL (GCI Sheet covered area)</t>
  </si>
  <si>
    <t>4mm  APP membrane applied to roof slabs  including screeding</t>
  </si>
  <si>
    <t>ROOF AND ROOF FININSHES CARRIED TO SUMMARY</t>
  </si>
  <si>
    <t xml:space="preserve">Allow for all all connections, pressure testing at 4 bars for 24hours and </t>
  </si>
  <si>
    <t xml:space="preserve">commissioning of the sanitary fittings and accessories to the entire </t>
  </si>
  <si>
    <t>satisfaction of the Engineer.</t>
  </si>
  <si>
    <t>Overall size 1200 x 1200mm high</t>
  </si>
  <si>
    <t>Pairs</t>
  </si>
  <si>
    <t xml:space="preserve">ITEM </t>
  </si>
  <si>
    <t xml:space="preserve">UNIT </t>
  </si>
  <si>
    <t>CM</t>
  </si>
  <si>
    <t>QTY</t>
  </si>
  <si>
    <t>100 x 50 mm as trussed  joists and struts</t>
  </si>
  <si>
    <t>150 x  50 mm as King post</t>
  </si>
  <si>
    <t>150 x 50 mm as trusses</t>
  </si>
  <si>
    <t>150 x 50 mm as Rafters</t>
  </si>
  <si>
    <t>Ceiling Finish</t>
  </si>
  <si>
    <t>50 x 50 blandering on timber joists</t>
  </si>
  <si>
    <t>75 x 50 timber joists</t>
  </si>
  <si>
    <t>Supply and fix ceiling board as approved by engineer</t>
  </si>
  <si>
    <t xml:space="preserve">Prepare Ground as per the structural drawing in readiness for hesco fence. </t>
  </si>
  <si>
    <t>Provide sand or appropriate material to fill in the hesco sacks, ensuring that the fence is upright and evenly filled to avoid bulging</t>
  </si>
  <si>
    <t>ELEMENT NO. 1 : SUB-STRUCTURES (all provisional)</t>
  </si>
  <si>
    <t>Excavate over site 200 mm deep to remove vegetable soil and cart away to spoil heap where directed on site</t>
  </si>
  <si>
    <t>Sum</t>
  </si>
  <si>
    <t>Concrete Works</t>
  </si>
  <si>
    <t>sm</t>
  </si>
  <si>
    <t>150 mm Ground floor slab</t>
  </si>
  <si>
    <t>Formwork</t>
  </si>
  <si>
    <t>To the edges of ground slabs 100 - 200mm wide</t>
  </si>
  <si>
    <t>lm</t>
  </si>
  <si>
    <t>Reinforcement</t>
  </si>
  <si>
    <t>Mesh reinforcement reference A142 weighing 2.22kg/m2 in ground slabs</t>
  </si>
  <si>
    <t>300mm thick approved  hardcore filling compacted and laid in layers not exceeding 150 mm thick</t>
  </si>
  <si>
    <t>Lm</t>
  </si>
  <si>
    <t>Provide all material and construct a single row of 980mm diameter heavy duty cross type concertina wire to be laid on top of existing HESCO barrier</t>
  </si>
  <si>
    <t>Supply and fix 12 Gauge 3mm strenghtening galvanised wire; 4 strands running through the angle posts for fastening razor wire (ms).The 12 Gauge galvanised wire should be tensioned so as have a minimum sag of 20mm from the horizontal.</t>
  </si>
  <si>
    <t>Supply and place angle posts 50x50x6mm, 1.5  m high, anchored on top of the hesco using 100mm dia uPVC pipes class D placed inside the sand filling, 500mm deep and filled with class 15 concrete (1:3:6). The distance of the angle posts should be 1.5m apart to hold 980mm razor wire (measured seperately), and should be lagged at the bottom for anchorage. Allow for drilling 4 No. holes per angle post</t>
  </si>
  <si>
    <t>Razor Wire Fence</t>
  </si>
  <si>
    <t>HESCO FENCE</t>
  </si>
  <si>
    <t>Page Total Carried Forward</t>
  </si>
  <si>
    <t>Page Total Brought Forward</t>
  </si>
  <si>
    <t>2.8.1</t>
  </si>
  <si>
    <t>3.1.1</t>
  </si>
  <si>
    <t>3.1.2</t>
  </si>
  <si>
    <t>3.2.1</t>
  </si>
  <si>
    <t>3.2.3</t>
  </si>
  <si>
    <t>3.1.3</t>
  </si>
  <si>
    <t>3.1.4</t>
  </si>
  <si>
    <t>3.1.5</t>
  </si>
  <si>
    <t>3.1.6</t>
  </si>
  <si>
    <t>3.1.7</t>
  </si>
  <si>
    <t>3.1.8</t>
  </si>
  <si>
    <t>3.1.9</t>
  </si>
  <si>
    <t>3.1.10</t>
  </si>
  <si>
    <t>3.1.11</t>
  </si>
  <si>
    <t>3.1.13</t>
  </si>
  <si>
    <t>TOTAL</t>
  </si>
  <si>
    <r>
      <rPr>
        <b/>
        <sz val="11"/>
        <rFont val="Calibri"/>
        <family val="2"/>
        <scheme val="minor"/>
      </rPr>
      <t>(EMPLOYER )</t>
    </r>
    <r>
      <rPr>
        <sz val="11"/>
        <rFont val="Calibri"/>
        <family val="2"/>
        <scheme val="minor"/>
      </rPr>
      <t xml:space="preserve"> </t>
    </r>
  </si>
  <si>
    <t xml:space="preserve">Address:  </t>
  </si>
  <si>
    <t xml:space="preserve">Tel No: </t>
  </si>
  <si>
    <t xml:space="preserve">Date: </t>
  </si>
  <si>
    <r>
      <rPr>
        <b/>
        <sz val="11"/>
        <rFont val="Calibri"/>
        <family val="2"/>
        <scheme val="minor"/>
      </rPr>
      <t>(CONTRACTOR)</t>
    </r>
    <r>
      <rPr>
        <sz val="11"/>
        <rFont val="Calibri"/>
        <family val="2"/>
        <scheme val="minor"/>
      </rPr>
      <t xml:space="preserve"> </t>
    </r>
  </si>
  <si>
    <t xml:space="preserve">Address: </t>
  </si>
  <si>
    <t xml:space="preserve">Supply and install following lighting fixtures with all accessories as per the specifications and drawings and complete with lamp fitting and accessories of Engineer or approved make. </t>
  </si>
  <si>
    <t>Supply and installation of fused shuttered switched socket outlet to comply with relevant BS standard (Clipsal, Orange, Crabtree/ Tenby/ABB or equivalent). Wiring (including supply of earth wire and all other material required) of above socket outlet using approved type 2.5mm² PVC/PVC copper cable and 2.5mm² earth wire  drawn through securely fixed concealed PVC conduit in a ring circuit.</t>
  </si>
  <si>
    <t>m</t>
  </si>
  <si>
    <t>Page total Brought forward</t>
  </si>
  <si>
    <t>PAGE TOTAL CARRIED TO MAIN SUMMARY</t>
  </si>
  <si>
    <t xml:space="preserve">25mm Thick cement/sand (1:4) screed steel trowelled </t>
  </si>
  <si>
    <t>Floor Finish</t>
  </si>
  <si>
    <t>Cement and sand (1:3) screeds</t>
  </si>
  <si>
    <t>3.2.4</t>
  </si>
  <si>
    <t>3.2.5</t>
  </si>
  <si>
    <t>3.2.2</t>
  </si>
  <si>
    <t>3.3.1</t>
  </si>
  <si>
    <t>3.3.2</t>
  </si>
  <si>
    <t>3.4.1</t>
  </si>
  <si>
    <t>3.4.2</t>
  </si>
  <si>
    <t>3.5.1</t>
  </si>
  <si>
    <t>Prepare and apply 3 coats emulsion paint to soft board ceilings</t>
  </si>
  <si>
    <t>SAWN TREATED CYPRESS, Grade S50, pressure impregnated (Provisional)</t>
  </si>
  <si>
    <t>LT5 profile gauge 28 prepainted roofing sheets fixed to timber purlins</t>
  </si>
  <si>
    <t xml:space="preserve"> Fixed to fascia board (ms)</t>
  </si>
  <si>
    <t>Solid hardwood panel door 45mm thick overall size 900x2100mm (both faces panelled)</t>
  </si>
  <si>
    <t>Wrought hardwood door frames and finishing EX 50x150mm rebated and chamfered to detail</t>
  </si>
  <si>
    <t>20mm quadrant plugged</t>
  </si>
  <si>
    <t>Ditto but for architraves</t>
  </si>
  <si>
    <t>Ironmongery</t>
  </si>
  <si>
    <t>Supply and fix the following to UNION or other equal and approved including matching screws</t>
  </si>
  <si>
    <t>3-lever mortice lock with brass handles</t>
  </si>
  <si>
    <t>100x75mm heavy duty brass butt hinges</t>
  </si>
  <si>
    <t>PRS</t>
  </si>
  <si>
    <t>Black rubber floor mounted doorstop</t>
  </si>
  <si>
    <t>Painting and Decoration</t>
  </si>
  <si>
    <t>Knot, prime, stop and apply 3 coats polyurethane clear varnish to all timber surfaces above.</t>
  </si>
  <si>
    <t>Supply and fix anodised aluminium windows complete with glazing, and burglar proof, 1.4 x 1.4m high</t>
  </si>
  <si>
    <t>Cement and sand (1:3) screed, backing, beds etc.</t>
  </si>
  <si>
    <t>1200mm Energy saving flourescent tube lighting</t>
  </si>
  <si>
    <t xml:space="preserve">Final circuit Wiring </t>
  </si>
  <si>
    <t>Wiring and installation (including supply of all materials) of the light points using approved type PVC insulated PVC sheathed 1.5 mm² copper cables and 2.5mm² earth cable drawn through securely fixed concealed PVC conduit, to the walls and slab surfacesSocket outlet points</t>
  </si>
  <si>
    <t>Lighting points</t>
  </si>
  <si>
    <t>Supply and install following overhead electrical fans with all accessories prices must include all materials, installation, testing and commisioning</t>
  </si>
  <si>
    <t>3 speed box fan with 20 inch blades</t>
  </si>
  <si>
    <t>Nr.</t>
  </si>
  <si>
    <t>Windows</t>
  </si>
  <si>
    <t>GRAND SUMMARY KISMAYO WTC</t>
  </si>
  <si>
    <t>Supply and fix soft board as eaves and including 50 x 50 mm cypress brandering at 600mm c/c both ways</t>
  </si>
  <si>
    <t>Ditto but to the corridor</t>
  </si>
  <si>
    <t xml:space="preserve">Provisional Sum of 250 USD for connecting power Supply and for connecting electricity to each unit and for any other power related items indavertently omitted. </t>
  </si>
  <si>
    <t>3.4.3</t>
  </si>
  <si>
    <t>3.4.5</t>
  </si>
  <si>
    <t>3.4.6</t>
  </si>
  <si>
    <t>3.6.1</t>
  </si>
  <si>
    <t xml:space="preserve">ITEM No. </t>
  </si>
  <si>
    <t>2.1.1</t>
  </si>
  <si>
    <t>3.3.3</t>
  </si>
  <si>
    <t>3.3.4</t>
  </si>
  <si>
    <t>3.4.4</t>
  </si>
  <si>
    <t>3.4.7</t>
  </si>
  <si>
    <t>3.4.8</t>
  </si>
  <si>
    <t>3.4.9</t>
  </si>
  <si>
    <t>3.7.1</t>
  </si>
  <si>
    <t>3.7.2</t>
  </si>
  <si>
    <t>3.7.3</t>
  </si>
  <si>
    <t>3.7.4</t>
  </si>
  <si>
    <t>2.1.2</t>
  </si>
  <si>
    <t>2.1.3</t>
  </si>
  <si>
    <t>2.1.4</t>
  </si>
  <si>
    <t>2.1.5</t>
  </si>
  <si>
    <t>2.1.6</t>
  </si>
  <si>
    <t>2.1.7</t>
  </si>
  <si>
    <t>2.1.8</t>
  </si>
  <si>
    <t>2.1.9</t>
  </si>
  <si>
    <t>2.1.10</t>
  </si>
  <si>
    <t>2.1.11</t>
  </si>
  <si>
    <t>2.2.1</t>
  </si>
  <si>
    <t>2.2.2</t>
  </si>
  <si>
    <t>2.2.3</t>
  </si>
  <si>
    <t>2.2.4</t>
  </si>
  <si>
    <t>2.3.1</t>
  </si>
  <si>
    <t>2.3.2</t>
  </si>
  <si>
    <t>2.3.3</t>
  </si>
  <si>
    <t>2.3.4</t>
  </si>
  <si>
    <t>2.1.14</t>
  </si>
  <si>
    <t>2.4.1</t>
  </si>
  <si>
    <t>2.4.2</t>
  </si>
  <si>
    <t>2.4.3</t>
  </si>
  <si>
    <t>2.4.4</t>
  </si>
  <si>
    <t>2.4.5</t>
  </si>
  <si>
    <t>2.4.6</t>
  </si>
  <si>
    <t>2.4.7</t>
  </si>
  <si>
    <t>2.4.8</t>
  </si>
  <si>
    <t>2.4.9</t>
  </si>
  <si>
    <t>2.5.1</t>
  </si>
  <si>
    <t>2.6.1</t>
  </si>
  <si>
    <t>2.7.1</t>
  </si>
  <si>
    <t>2.7.2</t>
  </si>
  <si>
    <t>2.7.3</t>
  </si>
  <si>
    <t>2.7.4</t>
  </si>
  <si>
    <t>2.9.1</t>
  </si>
  <si>
    <t>The Contractor is required to check the numbers of the pages and should any be found to be missing or in duplicate or the figures or writing indistinct, they must inform the Quantity Surveyors at once and have the same rectified.  Should the Contractor be in doubt about the precise meaning of any item, word or figure, for any reason whatsoever, or observe any apparent omission of words or figures they must inform the Quantity Surveyor in order that the correct meaning may be decided upon before the date for the submission of the Tender.</t>
  </si>
  <si>
    <t xml:space="preserve"> Contract to the satisfaction of the Engineer.</t>
  </si>
  <si>
    <t xml:space="preserve">The Contractor shall obtain the Engineer's approval for the siting of all temporary storage </t>
  </si>
  <si>
    <t>necessary for executing the works as instructed by the Engineer.</t>
  </si>
  <si>
    <t xml:space="preserve">The contractor must obtain the Engineer's approval and directions regarding the use of any </t>
  </si>
  <si>
    <t xml:space="preserve">receive on behalf of the Contractor, directions and instructions from the Engineer and such </t>
  </si>
  <si>
    <t>Engineer.</t>
  </si>
  <si>
    <t xml:space="preserve">Before the Tenderer's offer is accepted the Engineer will personally interview the Contractor's </t>
  </si>
  <si>
    <t xml:space="preserve"> provided for the Engineer's scrutiny.</t>
  </si>
  <si>
    <t>The Engineer's decision will be final regarding the suitability of the proposed Representative.</t>
  </si>
  <si>
    <t>The Engineer shall be empowered to suspend work on the Site should he consider these</t>
  </si>
  <si>
    <t>TOTAL CARRIED TO MAIN SUMMARY</t>
  </si>
  <si>
    <r>
      <t>m</t>
    </r>
    <r>
      <rPr>
        <vertAlign val="superscript"/>
        <sz val="11"/>
        <color indexed="8"/>
        <rFont val="Calibri"/>
        <family val="2"/>
        <scheme val="minor"/>
      </rPr>
      <t>2</t>
    </r>
  </si>
  <si>
    <t>Construct of 200mm thick hollow block foundation 600mm high</t>
  </si>
  <si>
    <t>2.1.12</t>
  </si>
  <si>
    <t>2.1.13</t>
  </si>
  <si>
    <t>Excavate 500mm deep for hollow block foundation by 400mm wide</t>
  </si>
  <si>
    <t>Gladiator or equal and approved chemical anti-termite treatment, executed complete by an approved specialist  under a ten-year guarantee, to surfaces of blinding</t>
  </si>
  <si>
    <t>1000 gauge polythene or other equal and approved damp-proof membrane, laid over blinded hardcore (m.s) with 300mm side and end laps (measured nett-allow for laps)</t>
  </si>
  <si>
    <t>Counseling &amp; Prayer Hall</t>
  </si>
  <si>
    <t>BILL NO. 1 : SUB-STRUCTURES (all provisional)</t>
  </si>
  <si>
    <t>Clear site of all bushes and debris. Grab up roots and burn the arisings</t>
  </si>
  <si>
    <t>3.8.1</t>
  </si>
  <si>
    <t xml:space="preserve"> BILL NO. 9: POWER SUPPLY AND CONNECTION </t>
  </si>
  <si>
    <t>3.9.1</t>
  </si>
  <si>
    <t>Library &amp; Literacy Centre</t>
  </si>
  <si>
    <t>4.1.1</t>
  </si>
  <si>
    <t>4.2.1</t>
  </si>
  <si>
    <t>5.1.1</t>
  </si>
  <si>
    <t>5.3.1</t>
  </si>
  <si>
    <t>5.4.1</t>
  </si>
  <si>
    <t>5.4.2</t>
  </si>
  <si>
    <r>
      <t>m</t>
    </r>
    <r>
      <rPr>
        <vertAlign val="superscript"/>
        <sz val="11"/>
        <color indexed="8"/>
        <rFont val="Calibri"/>
        <family val="2"/>
        <scheme val="minor"/>
      </rPr>
      <t>3</t>
    </r>
    <r>
      <rPr>
        <sz val="11"/>
        <color theme="1"/>
        <rFont val="Calibri"/>
        <family val="2"/>
        <scheme val="minor"/>
      </rPr>
      <t/>
    </r>
  </si>
  <si>
    <t>Clear site of all bushes and debris burn the arising</t>
  </si>
  <si>
    <t>Hard-core or other approved filling, as described</t>
  </si>
  <si>
    <t>300mm thick approved  hard-core filling compacted and laid in layers not exceeding 150 mm thick</t>
  </si>
  <si>
    <t xml:space="preserve">50mm thick Quarry dust  blinding to surfaces of hard-core :rolled smooth to receive polytheen sheeting (m.s) </t>
  </si>
  <si>
    <t>1000 gauge polythene or other equal and approved damp-proof membrane, laid over blinded hard-core (m.s) with 300mm side and end laps (measured nett-allow for laps)</t>
  </si>
  <si>
    <t>Total for Substructure Carried to Summary</t>
  </si>
  <si>
    <t>20mm bed finished to receive Non-slip ceramic  floor  tiles (m.s)</t>
  </si>
  <si>
    <t xml:space="preserve"> Non-slip ceramic  floor  tile</t>
  </si>
  <si>
    <t>300X300 x 8 mm thick coloured Ceramic Tiles laid to pattern and shape</t>
  </si>
  <si>
    <t>Total Carried to Summary</t>
  </si>
  <si>
    <t>1200mm Energy saving fluorescent tube lighting</t>
  </si>
  <si>
    <t>Wiring and installation (including supply of all materials) of the light points using approved type PVC insulated PVC sheathed 1.5 mm² copper cables and 2.5mm² earth cable drawn through securely fixed concealed PVC conduit, to the walls and slab surfaces Socket outlet points</t>
  </si>
  <si>
    <t>Supply and install following overhead electrical fans with all accessories prices must include all materials, installation, testing and commissioning</t>
  </si>
  <si>
    <t xml:space="preserve">Total Carried to Summary </t>
  </si>
  <si>
    <t xml:space="preserve">Construct 200mm thick 800mm high massonry walls forkitchen platfor  support </t>
  </si>
  <si>
    <t>Concrete class 20 in 50mm thick plinth and work top</t>
  </si>
  <si>
    <t xml:space="preserve">No. A 142 Fabric mesh reinforcement weighing 2.22 kg per metre square fixed in slab </t>
  </si>
  <si>
    <t>Formwork to  of slab</t>
  </si>
  <si>
    <t>Formwork to edge of slab. 50mm high</t>
  </si>
  <si>
    <t xml:space="preserve">Plaster to soffit of slab and bottom </t>
  </si>
  <si>
    <t>Ceramic tiles to worktop including screed</t>
  </si>
  <si>
    <t>Veneered mahogany 20mm thick in cupboard doors, divisions and shelves</t>
  </si>
  <si>
    <t>Malpa Hinges</t>
  </si>
  <si>
    <t>Allow for fitting sink to worktop</t>
  </si>
  <si>
    <t xml:space="preserve">Item </t>
  </si>
  <si>
    <t xml:space="preserve">Supply and apply three coats of gloss paint as finish </t>
  </si>
  <si>
    <t>Over head Cabinets</t>
  </si>
  <si>
    <t>MDF for bearers, support cupboard doors and division and shelves nailed and hang as per the drawings</t>
  </si>
  <si>
    <t xml:space="preserve">Supply and fix malpa hinges </t>
  </si>
  <si>
    <t>BILL SUMMARY</t>
  </si>
  <si>
    <t>Security House</t>
  </si>
  <si>
    <t xml:space="preserve">ELEMENT NO 1 - SUBSTRUCTURE </t>
  </si>
  <si>
    <t>ELEMENT NO. 2 - SUPERSTRUCTURE</t>
  </si>
  <si>
    <t>QNTY</t>
  </si>
  <si>
    <t>AMT US$</t>
  </si>
  <si>
    <t xml:space="preserve">Excavate trench for foundation not exceeding </t>
  </si>
  <si>
    <t>1.50 meters deep, starting from stripped levels</t>
  </si>
  <si>
    <t>Disposal of excavated materials</t>
  </si>
  <si>
    <t>Cart away surplus excavated material</t>
  </si>
  <si>
    <t>Return fill and compact selected excavated materials around foundations</t>
  </si>
  <si>
    <t>Carried to Collection</t>
  </si>
  <si>
    <t>Insitu concrete ; reinforced;class 20/(20mm): vibrated</t>
  </si>
  <si>
    <t xml:space="preserve">Construction of RCC beams of the floor and Collumn bases roof slab 0.2mx0.2mx8x2 </t>
  </si>
  <si>
    <t>Assorted steel bars 4 No 12Ǿ at spacing of staff 200mm@Cc</t>
  </si>
  <si>
    <t xml:space="preserve">Construction of RCC columns with dimensions  0.4mx0.4mx7m </t>
  </si>
  <si>
    <t>Assorted steel bars for column footing  both directions @ 16Ǿ spacing 200mm Cc</t>
  </si>
  <si>
    <t xml:space="preserve"> RCC mat foundation trench  and RCCA footings columns assorted steel bars for </t>
  </si>
  <si>
    <t>footing both directions 12diam specing 250mm@c-c</t>
  </si>
  <si>
    <t xml:space="preserve">Construction of RCC floor and roof slab for guard tower 2mx2mx0.2m </t>
  </si>
  <si>
    <t xml:space="preserve">steel bars of the floor&amp; roof slab both  X-direction </t>
  </si>
  <si>
    <t>Reinforcement( all provisional)</t>
  </si>
  <si>
    <t xml:space="preserve">Bars; high yield steel; cold worked to B.S. 4461 including bends, hooks, tying wire and distance blocks of assorted diameter </t>
  </si>
  <si>
    <t>Assorted bars</t>
  </si>
  <si>
    <t>In-situ concrete</t>
  </si>
  <si>
    <t>Mass concrete( 1.3.6/38-38mm aggregate)</t>
  </si>
  <si>
    <t>50mm thick mass concrete class Q(1:3:6) to bottoms of columns bases</t>
  </si>
  <si>
    <t>Sawn formwork to insitu concrete as described:-</t>
  </si>
  <si>
    <t>to sides of  suspended Slabs</t>
  </si>
  <si>
    <t>Ditto: sides of Columns bases</t>
  </si>
  <si>
    <t>Ditto: Beams</t>
  </si>
  <si>
    <t>To sides of the wall</t>
  </si>
  <si>
    <t>Toside of columns</t>
  </si>
  <si>
    <t>200mm  thick reinforced concrete walling  cast</t>
  </si>
  <si>
    <t>cement and sand -aggregate  (1:2:4) mortar, reinforcement with 12mm diam re bars</t>
  </si>
  <si>
    <t xml:space="preserve">200mm thick Reinforced concrete Retaining Wall </t>
  </si>
  <si>
    <t>at height of 1.4m class Q (1:3:6) at the top of Slab</t>
  </si>
  <si>
    <t>KG</t>
  </si>
  <si>
    <t>Wall finishes</t>
  </si>
  <si>
    <t>Plaster; 12mm thick 2 No. coatwork, generally to: -</t>
  </si>
  <si>
    <t xml:space="preserve">9mm first coat of cement sand (1:6); 3mm </t>
  </si>
  <si>
    <t xml:space="preserve">second coat of cement and lime putty (1:10); </t>
  </si>
  <si>
    <t xml:space="preserve">steel trowelled toconcrete or blockwork base </t>
  </si>
  <si>
    <t>Walls, and Columns</t>
  </si>
  <si>
    <t>Painting and decorations</t>
  </si>
  <si>
    <t xml:space="preserve">Prepare and apply three coats of first </t>
  </si>
  <si>
    <t>quality silk vinyl paint to: -</t>
  </si>
  <si>
    <t>Plastered surfaces</t>
  </si>
  <si>
    <t>Floor finishes</t>
  </si>
  <si>
    <t>Beds or Backings</t>
  </si>
  <si>
    <t>Screed; cement and sand (1:3)</t>
  </si>
  <si>
    <t xml:space="preserve">40mm thick one coat backings; wood floated </t>
  </si>
  <si>
    <t xml:space="preserve">to concrete base; smooth trowelled in red-oxide; </t>
  </si>
  <si>
    <t>to floors level; internal</t>
  </si>
  <si>
    <t xml:space="preserve">Supply and Provide 3m and 500mm wide Vertical </t>
  </si>
  <si>
    <t xml:space="preserve">ladder with railings on both sides to access </t>
  </si>
  <si>
    <t>the Observation Post</t>
  </si>
  <si>
    <t xml:space="preserve">Supply all materials and mount 4 LED 150W floodlights </t>
  </si>
  <si>
    <t>on either side of the towers</t>
  </si>
  <si>
    <t>ELEMENT No.</t>
  </si>
  <si>
    <t>AMOUNT</t>
  </si>
  <si>
    <t>2/8</t>
  </si>
  <si>
    <t>3/8</t>
  </si>
  <si>
    <t>4/8</t>
  </si>
  <si>
    <t>5/8</t>
  </si>
  <si>
    <t>6/8</t>
  </si>
  <si>
    <t>8/8</t>
  </si>
  <si>
    <t xml:space="preserve">Total </t>
  </si>
  <si>
    <t>Total for 4 No. Guard Towers</t>
  </si>
  <si>
    <t>75 x 50 mm as truss external members</t>
  </si>
  <si>
    <t>50x50mm purlins</t>
  </si>
  <si>
    <t>PLUMBING</t>
  </si>
  <si>
    <t xml:space="preserve">COLD WATER DISTRIBUTION </t>
  </si>
  <si>
    <t>Supply and install INDO GREEN PPR pipe to DIN 8077,8078 manufactured as per DIN 16962 and conforming to ISO and EN 15874 standard. All pipe and fitting to conform to PN25</t>
  </si>
  <si>
    <t>25 mm diameter ditto</t>
  </si>
  <si>
    <t>Extra Over Tubbing For:</t>
  </si>
  <si>
    <t>BEND /ELBOWS</t>
  </si>
  <si>
    <t>25mm diameter</t>
  </si>
  <si>
    <t xml:space="preserve"> Tee</t>
  </si>
  <si>
    <t>GATE VALVES</t>
  </si>
  <si>
    <t>Ditto but 25mm diameter</t>
  </si>
  <si>
    <t>Pressure booster pump set as Grundfos or equal and approved. Pump: CH2-30   Flow rate: 2m3/hr Complete with 60 litres pressure vessel</t>
  </si>
  <si>
    <t xml:space="preserve"> Set </t>
  </si>
  <si>
    <t>SOIL AND WASTE DRAINAGE</t>
  </si>
  <si>
    <t xml:space="preserve">                   -   </t>
  </si>
  <si>
    <t>Supply and install the following soil and waste system of pipe and fittings to BS 4514 with the installation of fittings done to manufacturers instruction and BS 5572 1978 as manufactured by "key" terrain" or any other manufacturer approved by the Project Manager. Tenderers must allow in the pipe work prices for all couplings connectors inspection covers, jointings roding eyes pipe fastenings including clips, holderbat sets, and plugging required for the proper and satisfactory functioning system</t>
  </si>
  <si>
    <t>100.4.40 Pipe</t>
  </si>
  <si>
    <t>Lm.</t>
  </si>
  <si>
    <t>200.2.40 ditto</t>
  </si>
  <si>
    <t>200.15.40 ditto</t>
  </si>
  <si>
    <t>200.125.40 ditto</t>
  </si>
  <si>
    <t>Extra Over Pipe For:-</t>
  </si>
  <si>
    <t>1801.4.87 bend</t>
  </si>
  <si>
    <t>180.4.87 long radius bend</t>
  </si>
  <si>
    <t>1848.4 WC connector</t>
  </si>
  <si>
    <t>1849.4. "P" trap</t>
  </si>
  <si>
    <t>1811.4 lip seal connectors</t>
  </si>
  <si>
    <t>102.4.5. connecting bend</t>
  </si>
  <si>
    <t>201.2.91 sweep bend</t>
  </si>
  <si>
    <t>201.15.40 ditto</t>
  </si>
  <si>
    <t>201.125.40 ditto</t>
  </si>
  <si>
    <t>204.125.135 ditto</t>
  </si>
  <si>
    <t>279.2 trapped floor gulley</t>
  </si>
  <si>
    <t>282.6 floor gulley inlet</t>
  </si>
  <si>
    <t>149.14.22 weathering slate</t>
  </si>
  <si>
    <t>150.6 vent cowl</t>
  </si>
  <si>
    <t>Construct a standard 600x450mm Manhole complete with heavy duty manhole cover</t>
  </si>
  <si>
    <t>Gulley traps complete with covers</t>
  </si>
  <si>
    <t>Allow a sum for connecting to septic tank, testing and commissioning of the drainage system to approval of the Project Manager</t>
  </si>
  <si>
    <t>PROVIDE RATES FOR SUPPLY, FIXING &amp; TESTING THE FOLLOWING SANITARY FITTINGS</t>
  </si>
  <si>
    <t>Twyfords Envy btw wash down W.C suite with horizontal outlet in Vitreous China comprising of WC pan REF. NV1438WH seat and soft closing cover NV7995WH, Chrome plate hinges, WC outlet Connector P trap or equal and approved.</t>
  </si>
  <si>
    <t>Twyfords concealled pattern Chrome plated flush valve No SF 9303CP complete with flow regulator, flush bend and WC Inlet Connector and waste.</t>
  </si>
  <si>
    <t xml:space="preserve">Chrome plated coat hook for wall mounting </t>
  </si>
  <si>
    <t>Arabic shower complete with all the accessories</t>
  </si>
  <si>
    <t>Twyfords 165 x 165mm build-in toilet roll holder No. VC 9336 WH (to be installed next to every WC pan).</t>
  </si>
  <si>
    <t>Twyfords Envy 500 pedestal wash handbasin No. NV4811WH to BS 3402 comprising: - single centre tap hole, in Vitreous China Ref. WB575100, chain &amp; stay hole, fixing brackets Chrome plated beaded chain waste11/4 waste WF 4330 CP Chrome plated bottle "P' trap 1-1/4 " WF 8482 XX on a pedestal stand NV4910WH</t>
  </si>
  <si>
    <t>Cobra push tap with delay or equal and approved,</t>
  </si>
  <si>
    <t xml:space="preserve">Soap Dispenser 
Wall mounted Soap dispenser with a capacity of about one Litre having a press action Soap release mechanism complete with fixing screws. As starmix or approved equivalent
</t>
  </si>
  <si>
    <t>WALL MIRRORS Twyford bevelled edge polished glass mirror size 900 x 600 x 6mm thick with silver backing with chromium plated dome shaped nuts and brass screws plugged.</t>
  </si>
  <si>
    <t>TOTAL FOR TOILETS CARRIED TO GRAND SUMMARY</t>
  </si>
  <si>
    <t>SECTION 9: WATCH TOWERS</t>
  </si>
  <si>
    <t>Assorted reinforcement bars</t>
  </si>
  <si>
    <t>Description</t>
  </si>
  <si>
    <t>Unit</t>
  </si>
  <si>
    <t>Qty</t>
  </si>
  <si>
    <t>Total Cost</t>
  </si>
  <si>
    <t>SECTION 10: SEPTIC TANK</t>
  </si>
  <si>
    <t>TOILET PIT</t>
  </si>
  <si>
    <t xml:space="preserve">Stripping of surface and excavation for latrine pit in soft soil up to depth of </t>
  </si>
  <si>
    <t>approximately 1.8m; pit dimensions: 2m width x 4m length</t>
  </si>
  <si>
    <t>Excavation for latrine pit in hard rock at a depth approximately starting at 1.8 M</t>
  </si>
  <si>
    <t xml:space="preserve">Reinforced concrete class 25, </t>
  </si>
  <si>
    <t>130mm thick vibrated reinforced concrete for bottom slab (concrete class 20)</t>
  </si>
  <si>
    <t>Reinforcement, as described (PROVISIONAL)</t>
  </si>
  <si>
    <t>High yield square twisted reinforcement to BS 4461</t>
  </si>
  <si>
    <t>10mm high tensile square twisted bars; cold worked; BS4461 including bends, hooks, tying wire, distance blocks and spacers for bottom slab; Y10@ 200mm c/c .</t>
  </si>
  <si>
    <t>Supply and fix sawn formwork to sides of bottom slab</t>
  </si>
  <si>
    <t xml:space="preserve">200x400mm block walling bedded and jointed in </t>
  </si>
  <si>
    <t>Sub-Structure walling</t>
  </si>
  <si>
    <t>13mm thick two coat cement sand (1:3) plaster trowelled smooth and comprising 12mm backing and 3mm finishing coat for internal walls.</t>
  </si>
  <si>
    <t xml:space="preserve">Supply all materials and cast a 125mm thick vibrated reinforced </t>
  </si>
  <si>
    <t xml:space="preserve">concrete slab, mix1:2:4 or class 20/20. Top slab dimensions 2.5m x 5.0m </t>
  </si>
  <si>
    <t xml:space="preserve">10mm high tensile square twisted bars; cold worked; BS4461 </t>
  </si>
  <si>
    <t xml:space="preserve">including bends, hooks, tying wire, distance blocks and spacers for </t>
  </si>
  <si>
    <t>top slab; Y10@ 200mm c/c .</t>
  </si>
  <si>
    <t>Supply and fix sawn formwork beneath the slab</t>
  </si>
  <si>
    <t>Manhole frame and covers</t>
  </si>
  <si>
    <t>Pcs.</t>
  </si>
  <si>
    <t>Tank piping, fittings and accessories which includes among others ring bearers anchored in the wall and a 2.5 m heigh 4'' vent pipe with rain cower and fly net</t>
  </si>
  <si>
    <t>4" brown sewer pipes with accessories laid with 1% slope in trench of 0.5 to 0.8 m depth</t>
  </si>
  <si>
    <t>Supply all materials and cast R.C. buffer beam, 100mm wide x 450mm deep, concrete class 20</t>
  </si>
  <si>
    <t>12mm high tensile square twisted bars; cold worked; BS4461 including bends, hooks, tying wire, distance blocks and spacers for ring beam reinforcement, 4Y12</t>
  </si>
  <si>
    <t>TOTAL CARRIED TO GRAND SUMMARY</t>
  </si>
  <si>
    <t>BILL NO. 1; EXCAVATION</t>
  </si>
  <si>
    <t>BILL NO. 2 : REINFORCED CONCRETE FRAME</t>
  </si>
  <si>
    <t>BILL NO.3: WALLING</t>
  </si>
  <si>
    <t>BILL NO. 4 FINISHES</t>
  </si>
  <si>
    <t>BILL NO. 5: STEEL LADDER</t>
  </si>
  <si>
    <t>BILL NO. 6: LIGHTING</t>
  </si>
  <si>
    <t>11.1.2</t>
  </si>
  <si>
    <t>11.1.3</t>
  </si>
  <si>
    <t>11.1.4</t>
  </si>
  <si>
    <t>11.1.5</t>
  </si>
  <si>
    <t>11.1.6</t>
  </si>
  <si>
    <t>11.1.7</t>
  </si>
  <si>
    <t>11.1.8</t>
  </si>
  <si>
    <t>11.1.9</t>
  </si>
  <si>
    <t>11.1.1</t>
  </si>
  <si>
    <t>11.1.12</t>
  </si>
  <si>
    <t>11.1.10</t>
  </si>
  <si>
    <t>11.1.11</t>
  </si>
  <si>
    <t>11.2.1</t>
  </si>
  <si>
    <t>11.2.2</t>
  </si>
  <si>
    <t>11.2.3</t>
  </si>
  <si>
    <t>11.2.4</t>
  </si>
  <si>
    <t>11.3.1</t>
  </si>
  <si>
    <t>11.3.2</t>
  </si>
  <si>
    <t>11.4.1</t>
  </si>
  <si>
    <t>11.4.2</t>
  </si>
  <si>
    <t>11.4.3</t>
  </si>
  <si>
    <t>11.4.4</t>
  </si>
  <si>
    <t>11.4.5</t>
  </si>
  <si>
    <t>11.4.6</t>
  </si>
  <si>
    <t>11.4.7</t>
  </si>
  <si>
    <t>11.4.8</t>
  </si>
  <si>
    <t>11.4.9</t>
  </si>
  <si>
    <t>11.4.10</t>
  </si>
  <si>
    <t>11.4.11</t>
  </si>
  <si>
    <t>11.4.12</t>
  </si>
  <si>
    <t>Offices &amp; Medical Exam Area</t>
  </si>
  <si>
    <t>SECTION NO.7</t>
  </si>
  <si>
    <t>SECTION NO.9</t>
  </si>
  <si>
    <t>Watch Towers</t>
  </si>
  <si>
    <t>SECTION NO.10</t>
  </si>
  <si>
    <t>SECTION NO.11</t>
  </si>
  <si>
    <t>Soak Pits</t>
  </si>
  <si>
    <t>Toilets</t>
  </si>
  <si>
    <t>SECTION NO.12</t>
  </si>
  <si>
    <t>Outdoor Play Area</t>
  </si>
  <si>
    <t>SECTION NO.13</t>
  </si>
  <si>
    <t>Security Fence</t>
  </si>
  <si>
    <r>
      <t>m</t>
    </r>
    <r>
      <rPr>
        <vertAlign val="superscript"/>
        <sz val="11"/>
        <rFont val="Calibri"/>
        <family val="2"/>
        <scheme val="minor"/>
      </rPr>
      <t>2</t>
    </r>
  </si>
  <si>
    <t>Site Clearing</t>
  </si>
  <si>
    <t>Excavate 200mm deep for hardcore filling</t>
  </si>
  <si>
    <r>
      <t>m</t>
    </r>
    <r>
      <rPr>
        <vertAlign val="superscript"/>
        <sz val="11"/>
        <color indexed="8"/>
        <rFont val="Calibri"/>
        <family val="2"/>
        <scheme val="minor"/>
      </rPr>
      <t>3</t>
    </r>
  </si>
  <si>
    <t>100 mm Ground floor slab providing expansion joints every 4m of walkway trowelled to rough finish</t>
  </si>
  <si>
    <t>General site leveling</t>
  </si>
  <si>
    <t>Crushed stone or other approved filling, as described</t>
  </si>
  <si>
    <t>50mm thick approved  crashed stone surfacing compacted to a uniform surface</t>
  </si>
  <si>
    <r>
      <t>m</t>
    </r>
    <r>
      <rPr>
        <vertAlign val="superscript"/>
        <sz val="11"/>
        <color theme="1"/>
        <rFont val="Calibri"/>
        <family val="2"/>
        <scheme val="minor"/>
      </rPr>
      <t>2</t>
    </r>
  </si>
  <si>
    <t>SECTION NO.14</t>
  </si>
  <si>
    <t>External Works</t>
  </si>
  <si>
    <t>SECTION 14: EXTERNAL WORKS</t>
  </si>
  <si>
    <t>BILL NO. 2: WALKWAYS</t>
  </si>
  <si>
    <t>BILL NO. 3: PARKING</t>
  </si>
  <si>
    <t>13.2.1</t>
  </si>
  <si>
    <t>13.2.2</t>
  </si>
  <si>
    <t>13.2.3</t>
  </si>
  <si>
    <t>13.3.1</t>
  </si>
  <si>
    <t>13.3.2</t>
  </si>
  <si>
    <t>13.3.3</t>
  </si>
  <si>
    <t>PROPOSED WOMEN TRANSITION CENTER - KISMAYU</t>
  </si>
  <si>
    <t>SECTION 2: TRAINING MATERIAL STORAGE UNITS BLOCK</t>
  </si>
  <si>
    <t>SECTION 4: SECURITY HOUSE</t>
  </si>
  <si>
    <t xml:space="preserve">Excavation </t>
  </si>
  <si>
    <t>Clear site of all bushes and debris, including grubbing up roots and clearing away.</t>
  </si>
  <si>
    <t>m2</t>
  </si>
  <si>
    <t xml:space="preserve"> Excavate 1500mm deep by 600mm wide for wall foundations </t>
  </si>
  <si>
    <t xml:space="preserve">Disposal of excavated materials </t>
  </si>
  <si>
    <t>Backfill and compact selected excavated material : compact in layers  not exceeding 150mm thick</t>
  </si>
  <si>
    <t>Surplus excavated materials : remove from site</t>
  </si>
  <si>
    <t xml:space="preserve">Quarry dust blinding </t>
  </si>
  <si>
    <t>50mm Quarry dust blinding over hardcore : compacted : to receive  floor bed (ms)</t>
  </si>
  <si>
    <t>BRC Reinforcement</t>
  </si>
  <si>
    <t>50mm Blinding layer : under strip foundations</t>
  </si>
  <si>
    <t xml:space="preserve">Insitu concrete : class 25/20 mm : vibrated : reinforced  </t>
  </si>
  <si>
    <t>Strip footing</t>
  </si>
  <si>
    <t>200*300mm Ground beam</t>
  </si>
  <si>
    <t xml:space="preserve">150mm Thick surface bed </t>
  </si>
  <si>
    <t xml:space="preserve">Steel Bar Reinforcement </t>
  </si>
  <si>
    <t>8mm diameter bars,</t>
  </si>
  <si>
    <t>kg</t>
  </si>
  <si>
    <t>12mm diameter bars</t>
  </si>
  <si>
    <t xml:space="preserve">Sawn formwork : to </t>
  </si>
  <si>
    <t>Vertical sides : wall foundations</t>
  </si>
  <si>
    <t>Vertical edges : beds over 75 but not exceeding 150mm wide</t>
  </si>
  <si>
    <t xml:space="preserve">Foundation wall </t>
  </si>
  <si>
    <t xml:space="preserve">Selected natural masonry stones (minimum 7.0N/mm) regular,  coursed rough chisel dressed on all faces : exposed substructure  walls shall include regular coursed walling of uniform colour and  texture : fine dressed smooth finish to external face : bedded and  jointed in cement and sand (1:3) mortar : Extra over external fine  dressed wall for 10 x 10mm recessed horizontal joints with  vertical flush joints : pointed in cement grout : wire brush stone  work after keywork </t>
  </si>
  <si>
    <t>200mm Foundation walls</t>
  </si>
  <si>
    <t xml:space="preserve">Concrete block walling </t>
  </si>
  <si>
    <t>Concrete block   (minimum 5.0N/mm) walling :  bedded and</t>
  </si>
  <si>
    <t>200mm Thick walls</t>
  </si>
  <si>
    <t xml:space="preserve">Ringbeam </t>
  </si>
  <si>
    <t>Reinforced concrete class (20/20)as described in 200 x 300 mm High ring beam</t>
  </si>
  <si>
    <t>Reinforcement as described;- High yield ribbed reinforcement bars to B.S 4461</t>
  </si>
  <si>
    <t xml:space="preserve">New Sheet roofing </t>
  </si>
  <si>
    <t>Supply and construct a galvanized (350g/m2) corrugated Aluminum sheet roof 28 gauge over the rooms including treated timber substructure and skirting (Rafters: 150mm x 75mm, purlins: 75mm x 50mm, Main Ties: 100 x 50 mm, and King post 100mmx50mm, ), galvanized rain gutter and downpipe system as shown in the drawing(s). Note that all roof sheets should be of box profile preprinted or Aluminum roofing sheets (for coastal areas) as per instruction . All wood has to be treated with ANTI-TERMITE TREATMENT to all surfaces. All timber surfaces shall be painted with minimum two coats of water based emulsion paint (white)</t>
  </si>
  <si>
    <t>New roof</t>
  </si>
  <si>
    <t>Ceiling with chipboard or equal approved ceiling board fixing onto 50X50mm timber brandering on 50X100mm joists</t>
  </si>
  <si>
    <t xml:space="preserve">Fascia board </t>
  </si>
  <si>
    <t>Three coats of plastic emulsion ceiling and fascia board painting</t>
  </si>
  <si>
    <t xml:space="preserve">Timber flush doors </t>
  </si>
  <si>
    <t xml:space="preserve">Door overall size 900 x 2100mm high </t>
  </si>
  <si>
    <t>Provide and fix Purpose made steel casement 1000x1200mm windows  including all cutting welding, filling and grinding to smooth finish with and including approved hinges, fasteners, strays and painted with one coat of red oxide primer before fixing.</t>
  </si>
  <si>
    <t xml:space="preserve">Screeds </t>
  </si>
  <si>
    <t>Cement and sand (1:4) mortar screed beds : wood float finished</t>
  </si>
  <si>
    <t xml:space="preserve"> to receive ceramic tile floor finish (m.s) :  on concrete </t>
  </si>
  <si>
    <t>40mm Thick screed beds</t>
  </si>
  <si>
    <t xml:space="preserve">Plaster works </t>
  </si>
  <si>
    <t>Walls and beams</t>
  </si>
  <si>
    <t xml:space="preserve">Paint work </t>
  </si>
  <si>
    <t>Prepare internal surfaces and paint  to match existing colour</t>
  </si>
  <si>
    <t>Prepare external surfaces and paint  to match existing colour</t>
  </si>
  <si>
    <t>Supply and  fix wall  shelves  300x400mm heigh made of 20mm thick cut and joined MDF pannels 1200mm high by 1800mm wide</t>
  </si>
  <si>
    <t xml:space="preserve">Site Clearance </t>
  </si>
  <si>
    <t>Load, wheel and cart deposit and spread surplus excavated material where directed on site at a distance not exceeding  100 meters</t>
  </si>
  <si>
    <t>Excavate for foundation not exceeding 0.3</t>
  </si>
  <si>
    <t>Extra over for excavation in rock</t>
  </si>
  <si>
    <t>Ditto Column bases</t>
  </si>
  <si>
    <t>foundations</t>
  </si>
  <si>
    <t xml:space="preserve">100mm blinding </t>
  </si>
  <si>
    <t>Insitu concrete class 25/20 , vibrated and reinforced  in</t>
  </si>
  <si>
    <t>Ground beam</t>
  </si>
  <si>
    <t>Ring beam 2</t>
  </si>
  <si>
    <t xml:space="preserve">150mm thick surface bed laid in bays including all </t>
  </si>
  <si>
    <t>necessary formwork in</t>
  </si>
  <si>
    <t>200mm Intermediary Suspended slab</t>
  </si>
  <si>
    <t>200mm Roof slab</t>
  </si>
  <si>
    <t>Columns (Height 6m)</t>
  </si>
  <si>
    <t>Page total Carried forward</t>
  </si>
  <si>
    <t>Page total Brought Forward</t>
  </si>
  <si>
    <t>REINFORCEMENT</t>
  </si>
  <si>
    <t>High yield square twisted reinforcement bars to B.S 4461 including cutting bending and tying</t>
  </si>
  <si>
    <t>COLUMN BASES AND 6 M COLUMNS</t>
  </si>
  <si>
    <t>Y12 (Nominal Diameter 12mm) bars spanning both ways</t>
  </si>
  <si>
    <t>Cross-Sectional Area (201mm2), Mass per unit length (1.579kg/m)</t>
  </si>
  <si>
    <t>GROUND SLAB</t>
  </si>
  <si>
    <t>Reference A142 mesh 200 x 200 mm , weight 2.22 kgs per square meter ( measured net - no allowance made for laps (inclunding bends, tying wire and distance blocks)</t>
  </si>
  <si>
    <t>SUSPENDED SLABS - 2 NO.</t>
  </si>
  <si>
    <t>Y12 (Nominal Diameter 12mm) bars as main bars tops 2</t>
  </si>
  <si>
    <t>FORMWORK</t>
  </si>
  <si>
    <t>To edge of floor slab</t>
  </si>
  <si>
    <t>Ditto to sides and soffits of base slab</t>
  </si>
  <si>
    <t>Ditto to walls</t>
  </si>
  <si>
    <t>Ventilated parapet wall with block walling leaving gaps 200mm wide, total height 1m high as wind breaker</t>
  </si>
  <si>
    <t xml:space="preserve">maximum aggregate size in as described, in:- </t>
  </si>
  <si>
    <t>200 mm thick reinforced wall</t>
  </si>
  <si>
    <t>ELEMENT NO. 6 : FINISHES</t>
  </si>
  <si>
    <t>25mm Thick cement/sand (1:4) screed finish</t>
  </si>
  <si>
    <t>Floor slab</t>
  </si>
  <si>
    <t>wood float to:-</t>
  </si>
  <si>
    <t>Concrete or masonry surfaces externally</t>
  </si>
  <si>
    <t>Ditto outside all slabs</t>
  </si>
  <si>
    <t>Ditto for columns</t>
  </si>
  <si>
    <t>PLUMBING INSTALLATIONS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</si>
  <si>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</si>
  <si>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</si>
  <si>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</si>
  <si>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</si>
  <si>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</si>
  <si>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</si>
  <si>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</si>
  <si>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</si>
  <si>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Supply and install 600x600x6mm heavy gauge steel primed metal manhole cover on slab with and including metal framing all around</t>
  </si>
  <si>
    <t>Supply and install 20mm Diameter bars, ‘U’ shaped to form steps with ends embedded into retaining wall, average length 450mm</t>
  </si>
  <si>
    <t>Water Tanks</t>
  </si>
  <si>
    <t>Supply and fix No. 10000 L each plastic tanks</t>
  </si>
  <si>
    <t>Provisional sum for piping and valves to various points</t>
  </si>
  <si>
    <t>15.1.1</t>
  </si>
  <si>
    <t>15.1.2</t>
  </si>
  <si>
    <t>15.2.1</t>
  </si>
  <si>
    <t>15.2.2</t>
  </si>
  <si>
    <t>15.2.3</t>
  </si>
  <si>
    <t>15.2.4</t>
  </si>
  <si>
    <t>15.2.5</t>
  </si>
  <si>
    <t>15.2.6</t>
  </si>
  <si>
    <t>15.2.7</t>
  </si>
  <si>
    <t>15.3.1</t>
  </si>
  <si>
    <t>15.3.2</t>
  </si>
  <si>
    <t>15.3.3</t>
  </si>
  <si>
    <t>15.3.4</t>
  </si>
  <si>
    <t>15.3.5</t>
  </si>
  <si>
    <t>15.3.6</t>
  </si>
  <si>
    <t>15.3.7</t>
  </si>
  <si>
    <t>15.3.8</t>
  </si>
  <si>
    <t>15.3.9</t>
  </si>
  <si>
    <t>15.3.10</t>
  </si>
  <si>
    <t>15.4.1</t>
  </si>
  <si>
    <t>15.4.2</t>
  </si>
  <si>
    <t>15.4.3</t>
  </si>
  <si>
    <t>15.4.4</t>
  </si>
  <si>
    <t>15.4.5</t>
  </si>
  <si>
    <t>15.4.6</t>
  </si>
  <si>
    <t>15.5.1</t>
  </si>
  <si>
    <t>15.7.1</t>
  </si>
  <si>
    <t>15.7.2</t>
  </si>
  <si>
    <t>15.7.3</t>
  </si>
  <si>
    <t>15.7.4</t>
  </si>
  <si>
    <t>15.8.1</t>
  </si>
  <si>
    <t>15.8.2</t>
  </si>
  <si>
    <t>15.9.1</t>
  </si>
  <si>
    <t>15.9.2</t>
  </si>
  <si>
    <t>15.9.3</t>
  </si>
  <si>
    <t>15.9.4</t>
  </si>
  <si>
    <t>15.10.1</t>
  </si>
  <si>
    <t>15.10.11</t>
  </si>
  <si>
    <t>15.10.12</t>
  </si>
  <si>
    <t>15.10.13</t>
  </si>
  <si>
    <t>15.10.14</t>
  </si>
  <si>
    <t>15.10.15</t>
  </si>
  <si>
    <t>15.10.16</t>
  </si>
  <si>
    <t>15.10.17</t>
  </si>
  <si>
    <t>15.10.18</t>
  </si>
  <si>
    <t>15.11.1</t>
  </si>
  <si>
    <t>15.11.2</t>
  </si>
  <si>
    <t>15.6.1</t>
  </si>
  <si>
    <t>Water tank tower</t>
  </si>
  <si>
    <t>SECTION NO.15</t>
  </si>
  <si>
    <t>Training Material Storage Units</t>
  </si>
  <si>
    <t>Preliminary and General Items</t>
  </si>
  <si>
    <t>IOM Offices</t>
  </si>
  <si>
    <t>WATER TANK TOWER</t>
  </si>
  <si>
    <t>SECTION 7: SECURITY FENCES</t>
  </si>
  <si>
    <t>Clear site of all bushes, grab up roots and burn their arisings</t>
  </si>
  <si>
    <t>ELEMENT NO.2: BARBED WIRE FENCING</t>
  </si>
  <si>
    <t>Excavations</t>
  </si>
  <si>
    <t>Excavate starting from ground level pits size 600mm deep by 300mm Diameter and load to spread soil on site</t>
  </si>
  <si>
    <t>Cast Reinforced concrete mix 1:2:4 mixed aggregates to 600mm deep x 300mm diameter pits; including curing as required</t>
  </si>
  <si>
    <t>The contractor is reminded to include in his pricing, the cost of supply, cutting, waste and erecting and all other necessary fittings including welding lugs onto the angle bars etc. Steel sections and the necessary fixing and anchorage to be treated as described in the specifications.</t>
  </si>
  <si>
    <t>Fencing</t>
  </si>
  <si>
    <t>Supply and fix in concrete foundation 3m long 50mm x 50mm x 3mm mild steel angles (2.34kg/m) with welded lugs for anchorage including priming with red oxide primer before delivery to site. This should include 2 nos. steel 50mm x 50mm x 3mm angle sections (both sides of the angle bar at a height of 1m) for corner props and in every 25m.</t>
  </si>
  <si>
    <t>Supply and fix 12.5 Gauge barbed wire (7 strands) fixed to the 50mm x 50mm x 3mm steel angles by binding wire. Cost should include the cost of binding wire, cutting, tying and fixing. One strand to anchor the chain link under the ground and to be backfilled</t>
  </si>
  <si>
    <t>Hesco Fence</t>
  </si>
  <si>
    <t>Take stock, deliver to site and instal MIL7 8784 R with dimensions 87" (2.21m) height, and 84" (2.13m) wide single stacked for the internal hesco protection wall</t>
  </si>
  <si>
    <t>Subtotal Element No.2- Barbed Wire Fencing</t>
  </si>
  <si>
    <t>BARBED WIRE</t>
  </si>
  <si>
    <t>RAZOR WIRE</t>
  </si>
  <si>
    <t>13.2.4</t>
  </si>
  <si>
    <t>13.4.1</t>
  </si>
  <si>
    <t>13.4.3</t>
  </si>
  <si>
    <t>13.4.2</t>
  </si>
  <si>
    <t>Damp-proof courses, as described, to walls</t>
  </si>
  <si>
    <t>200mm wide</t>
  </si>
  <si>
    <t>12mm (minimum) two coat lime plaster as described to</t>
  </si>
  <si>
    <t>Concrete or masonry surfaces internally</t>
  </si>
  <si>
    <t xml:space="preserve">Prepare and apply three coats first quality emulsion </t>
  </si>
  <si>
    <t xml:space="preserve">paint on:- </t>
  </si>
  <si>
    <t>Plastered walls externally</t>
  </si>
  <si>
    <t>Prepare and apply three coats first quality silk vinyl</t>
  </si>
  <si>
    <t xml:space="preserve">emulsion paint on:- </t>
  </si>
  <si>
    <t>Plastered surfaces internally</t>
  </si>
  <si>
    <t xml:space="preserve">Accommodation </t>
  </si>
  <si>
    <r>
      <t>m</t>
    </r>
    <r>
      <rPr>
        <vertAlign val="superscript"/>
        <sz val="11"/>
        <color indexed="8"/>
        <rFont val="Calibri"/>
        <family val="2"/>
        <scheme val="minor"/>
      </rPr>
      <t>3</t>
    </r>
    <r>
      <rPr>
        <sz val="11"/>
        <color theme="1"/>
        <rFont val="Calibri"/>
        <family val="2"/>
        <scheme val="minor"/>
      </rPr>
      <t/>
    </r>
  </si>
  <si>
    <t>Excavate 600mm deep for solid block foundation by 400mm wide</t>
  </si>
  <si>
    <t>Construct of 400mm thick solid block foundation 800mm high</t>
  </si>
  <si>
    <t>High yield square twisted reinforcement bars to B.S 4461 in strip foundation, foundation beam and foundation columns and bases</t>
  </si>
  <si>
    <t xml:space="preserve">8mm bars </t>
  </si>
  <si>
    <t>12mm bars</t>
  </si>
  <si>
    <t>2.1.15</t>
  </si>
  <si>
    <t>2.1.16</t>
  </si>
  <si>
    <t>Strip Foundation</t>
  </si>
  <si>
    <t>m3</t>
  </si>
  <si>
    <t>2.1.17</t>
  </si>
  <si>
    <t>Ground floor beam</t>
  </si>
  <si>
    <t>Ground Beam</t>
  </si>
  <si>
    <t>ELEMENT NO. 2: SUPER STRUCTURE CONCRETE</t>
  </si>
  <si>
    <t>Reinforced concrete class 25, as described in:-</t>
  </si>
  <si>
    <t>Beams</t>
  </si>
  <si>
    <t>8mm ditto</t>
  </si>
  <si>
    <t>12mm ditto</t>
  </si>
  <si>
    <t>Sawn formwork, as described, to:-</t>
  </si>
  <si>
    <t>Sides and soffits of beams</t>
  </si>
  <si>
    <t>Superstructure concrete Carried to Bill No. 2 Summary</t>
  </si>
  <si>
    <t>ELEMENT NO. 3 SUPERSTRUCTURE WALLING</t>
  </si>
  <si>
    <t>Hollow block walling</t>
  </si>
  <si>
    <t xml:space="preserve">200x400mm Hollow block  stone walling bedded and jointed in </t>
  </si>
  <si>
    <t>400mm thick walling externally 3m high</t>
  </si>
  <si>
    <t>200mm thick walling internally 3m high</t>
  </si>
  <si>
    <t>Total for Superstructure Walling  Carried to Bill No. 2 Summary</t>
  </si>
  <si>
    <t>ELEMENT NO 7: FINISHES</t>
  </si>
  <si>
    <t>40mm finished floor screed steel troweled  finish</t>
  </si>
  <si>
    <t>Ditto : Skirting</t>
  </si>
  <si>
    <t>2.7.5</t>
  </si>
  <si>
    <t>2.7.9</t>
  </si>
  <si>
    <t>2.7.10</t>
  </si>
  <si>
    <t>Solid hardwood panel double door 45mm thick overall size 1.8x2100mm (both faces panelled)</t>
  </si>
  <si>
    <t>Excavate trench for foundation trenches and column bases not exceeding 1.50 meters deep, starting from stripped levels</t>
  </si>
  <si>
    <t>cm</t>
  </si>
  <si>
    <t xml:space="preserve">Fill trenches with hard core compacted in 150 mm layers </t>
  </si>
  <si>
    <t>Return fill in and ram selected excavated material around foundations</t>
  </si>
  <si>
    <t>Spread surplus excavated material on site as directed</t>
  </si>
  <si>
    <t>Allow for planking and strutting as necessary to sides of excavation</t>
  </si>
  <si>
    <t>Foundation Strip</t>
  </si>
  <si>
    <t>3.1.15</t>
  </si>
  <si>
    <t>High Tensile mild steel reinforcement bars to BS 8666 in Foundations</t>
  </si>
  <si>
    <t>3.1.17</t>
  </si>
  <si>
    <t>10 mm diameter</t>
  </si>
  <si>
    <t>3.1.19</t>
  </si>
  <si>
    <t>Walling for foundation</t>
  </si>
  <si>
    <t xml:space="preserve">Filling </t>
  </si>
  <si>
    <t>3.1.20</t>
  </si>
  <si>
    <t>3.1.21</t>
  </si>
  <si>
    <t>SUPER STRUCTURE</t>
  </si>
  <si>
    <t>ELEMENT NO. 2: REINFORCED CONCRETE</t>
  </si>
  <si>
    <t>Reinforced concrete class 25 in</t>
  </si>
  <si>
    <t>To sides and soffits of beams</t>
  </si>
  <si>
    <t>12 mm diameter</t>
  </si>
  <si>
    <t>ELEMENT NO. 3: WALLING</t>
  </si>
  <si>
    <t>200mm precast concrete concrete block walls bedded and jointed in cement and sand (1:4) mortar</t>
  </si>
  <si>
    <t>Horizontal Damp Proof Course:one layer of 3-ply bituminous feltor other equal approved (measured nett-allow for laps) ; B.S. 743 Type A bitumen hessian base 150 mm laps (no allowance made for laps); horizontal, 1 no. layer, bedded in cement sand (1:3) mortar</t>
  </si>
  <si>
    <t>ELEMENT NO. 4 :  ROOFING</t>
  </si>
  <si>
    <t>28 gauge pre painted IT4 box profile iron sheets on timber structure (ms)</t>
  </si>
  <si>
    <t xml:space="preserve">impregnated </t>
  </si>
  <si>
    <t>100 x 50 mm as trusses and rafters</t>
  </si>
  <si>
    <t>50 x 50 mm as trusses, trussed  joists and struts</t>
  </si>
  <si>
    <t>75x50mm purlins and joists and struts</t>
  </si>
  <si>
    <t>100 x  50 mm as King post</t>
  </si>
  <si>
    <t>Dittob but for Fascia Board</t>
  </si>
  <si>
    <t>150x150mm 24gauge galvanized mild steel box gutter with galvanized steel brackets at 600mm centers fixed to fascia board (ms)</t>
  </si>
  <si>
    <t>ELEMENT NO. 5 : WINDOWS</t>
  </si>
  <si>
    <t>Extruded anodised aluminium sliding frame 80x50mm mosquito netting and fabricated aluminium burglar proof grill with 6mm thick glass with blue anti-glare film.</t>
  </si>
  <si>
    <t>Overall size 1500 x1500mm high</t>
  </si>
  <si>
    <t>Overall size 2000 x1500mm high</t>
  </si>
  <si>
    <t>Precast concrete window cill size 260 x 50mm Thick sunk - weathered and throated and bedded and jointed in cement sand mortar</t>
  </si>
  <si>
    <t>ELEMENT NO. 6: DOORS</t>
  </si>
  <si>
    <t>Internal Doors</t>
  </si>
  <si>
    <t>45 mm thick solid steel panelled double door overall size 1200mm * 2400mm high with and including 150*50 mm steel frame, 3 pairs heavy duty brass butt hinges and 5 lever UNION ribitted door lock</t>
  </si>
  <si>
    <t>External Doors</t>
  </si>
  <si>
    <t>ELEMENT NO. 7 :  FINISHES</t>
  </si>
  <si>
    <t xml:space="preserve">Non-slip 300x300mm ceramic Tiles from approved supplier fixed </t>
  </si>
  <si>
    <t xml:space="preserve">with approved tile adhesive: </t>
  </si>
  <si>
    <t>jointed and pointed in approved grout.</t>
  </si>
  <si>
    <t>3.5.2</t>
  </si>
  <si>
    <t>3.5.3</t>
  </si>
  <si>
    <t>100mm wide with rounded junction with wall finish and coved junction with floor finish</t>
  </si>
  <si>
    <t>3.5.4</t>
  </si>
  <si>
    <t>Internal Lime Plaster</t>
  </si>
  <si>
    <t>3.5.5</t>
  </si>
  <si>
    <t xml:space="preserve">15 mm cement and sand (1:3) External cement sand rendering </t>
  </si>
  <si>
    <t>Glazed tiles</t>
  </si>
  <si>
    <t>3.5.6</t>
  </si>
  <si>
    <t>6 mm glazed wall tiles fixed to plastered surfaces with approved adhesive to a height of 1200 mm in kitchen areas above counter top</t>
  </si>
  <si>
    <t xml:space="preserve">Fill uneven surfaces with stucco filler to approval and apply two coats soft white external textured paint to: </t>
  </si>
  <si>
    <t>3.5.7</t>
  </si>
  <si>
    <t>3.5.8</t>
  </si>
  <si>
    <t>Total: Work tops and Bottom Cabinets</t>
  </si>
  <si>
    <t>Plumbing Fittings</t>
  </si>
  <si>
    <t xml:space="preserve">Kitchen sink </t>
  </si>
  <si>
    <t xml:space="preserve">Supply and Install double bowl double drainer stainless steel kitchen sink size 1200 x 1200 with EACH bowl size 400 x 340 x 150mm complete with 1 No. Bricon kitchen mixer and tap 40mm waste outlet chain and plug, overflow, 40mmtubular 'P' trap No. WF 8491XX and all required plumbing connections. Sink to be as "ASL"or equal and approved. The sink to be in heavy duty sheet. </t>
  </si>
  <si>
    <t>Total: Plumbing Fittings</t>
  </si>
  <si>
    <t>Supply, deliver and install pipes, tubing and fittings as described and  shown on the drawings. The pipes shall be PPR PN 20 pipes and all conforming to the current European standards for PPR installations and o the Engineers approval, pipe jointing shall be by polyfusion or use of electric coupling and to manufacturer's printed instructions. Rates must allow for all Metal/plastic threaded adaptors where required, valves, unions, sockets, sliding and fixed joints, support raceways, isolating sheaths, elastic material, expansion arms and bends, crossovers, couplings,clippings, connectors, joints and for the connection of sanitary fixtures etc.as required in the running lengths of pipework and also where necessary, for pipe fixing clips, holder bats plugged and screwed for the proper and satisfactory functioning of the system. The pipes will be pressure tested before the plastering of wall commences and as per the manufacturers recommended testing procedures. The sizes indicated are the minimum bore sizes.</t>
  </si>
  <si>
    <t xml:space="preserve"> Fire Fighting Services</t>
  </si>
  <si>
    <t>Supply and Install</t>
  </si>
  <si>
    <t>4.5 Litres discharge controlled type carbon dioxide gas portable fire extinguisher manufactured to BS 5423 with normal charge</t>
  </si>
  <si>
    <t>9Kg dry powder multi-purposed fire class A, B and C as manufactured by Angus Fire Armour ABC multipurpose model AP 9K or equal and approved</t>
  </si>
  <si>
    <t>Type W1 - 1x36w Surface mounted waterproof polycarbonate flourescent light fitting</t>
  </si>
  <si>
    <t>Supply and installation of fused shuttered switched socket outlet to comply with relevant BS standard (Clipsal, Orange, Crabtree/ Tenby/ABB or equivalent). Wiring (including supply of earth wire and all ther material required) of above socket outlet using approved type 2.5mm² PVC/PVC copper cable and 2.5mm² earth wire  drawn through securely fixed concealed PVC conduit in a ring circuit</t>
  </si>
  <si>
    <t>Supply, install, test and commission 450/750 volts 6491X cables with all required accessories for proper installation and operation including conduits, pipes( each cable in separate conduit or pipe), cable lugs, ties... etc.  as shown on drawing, as per the preamble, the specifications and supervision engineer's requirements.</t>
  </si>
  <si>
    <t>Supply, install and connect complete 1.5 sq. mm colour-coded SC cables to lighting points drawn in Concealed /surface 20mm HG PVC conduits, complete with draw boxes, switch boxes and other necessary accessories.</t>
  </si>
  <si>
    <t>2.1.18</t>
  </si>
  <si>
    <t>PROPOSED TRAINING MATERIAL STORAGE UNITS IN KISIMAYO WTC.</t>
  </si>
  <si>
    <t>Roof Carried Forward</t>
  </si>
  <si>
    <t>Roof Total Carried to Bill No. 2 Summary</t>
  </si>
  <si>
    <t>Doors Total Carried to Bill No. 2 Summary</t>
  </si>
  <si>
    <t>BILL NO. 4: ROOF</t>
  </si>
  <si>
    <t>2.4.10</t>
  </si>
  <si>
    <t>2.4.11</t>
  </si>
  <si>
    <t>2.4.12</t>
  </si>
  <si>
    <t>2.4.13</t>
  </si>
  <si>
    <t>2.4.14</t>
  </si>
  <si>
    <t>BILL NO. 5 : DOORS</t>
  </si>
  <si>
    <t>2.5.2</t>
  </si>
  <si>
    <t>2.5.3</t>
  </si>
  <si>
    <t>2.5.4</t>
  </si>
  <si>
    <t>2.5.5</t>
  </si>
  <si>
    <t>2.5.6</t>
  </si>
  <si>
    <t>2.5.7</t>
  </si>
  <si>
    <t>2.5.8</t>
  </si>
  <si>
    <t>2.5.9</t>
  </si>
  <si>
    <t>BILL NO. 6 : WINDOWS</t>
  </si>
  <si>
    <t>Window Total Carried to Bill No. 2 Summary</t>
  </si>
  <si>
    <t>Finishes Carried to Bill No. 2 Summary</t>
  </si>
  <si>
    <t xml:space="preserve">BILL NO. 8 : LIGHTING &amp; POWER FITTINGS </t>
  </si>
  <si>
    <t>2.8.2</t>
  </si>
  <si>
    <t>2.8.3</t>
  </si>
  <si>
    <t>Lighting Total Carried to Bill Summary</t>
  </si>
  <si>
    <t>2.10.1</t>
  </si>
  <si>
    <t>Fans Total Carried to Bill Summary</t>
  </si>
  <si>
    <t>Power Supply Total Carried to Bill Summary</t>
  </si>
  <si>
    <t>BILL NO. 9: FANS</t>
  </si>
  <si>
    <t>2.8.4</t>
  </si>
  <si>
    <t xml:space="preserve"> BILL NO. 10: POWER SUPPLY AND CONNECTION </t>
  </si>
  <si>
    <t>2.10.</t>
  </si>
  <si>
    <t>Substructure Total Carried to Bill Summary</t>
  </si>
  <si>
    <t xml:space="preserve">Total for 2 Training and Material Storage Carried to Main Summary </t>
  </si>
  <si>
    <t>Total For Substructure Carried to Bill Summary</t>
  </si>
  <si>
    <t>3.1.12</t>
  </si>
  <si>
    <t>3.1.14</t>
  </si>
  <si>
    <t>3.1.16</t>
  </si>
  <si>
    <t>Page Total Carried Forward to next page</t>
  </si>
  <si>
    <t>Roof Total Carried to Bill Summary</t>
  </si>
  <si>
    <t>3.4.10</t>
  </si>
  <si>
    <t>3.4.11</t>
  </si>
  <si>
    <t>3.4.12</t>
  </si>
  <si>
    <t>3.4.13</t>
  </si>
  <si>
    <t>3.4.14</t>
  </si>
  <si>
    <t>3.4.15</t>
  </si>
  <si>
    <t>3.4.16</t>
  </si>
  <si>
    <t>3.4.17</t>
  </si>
  <si>
    <t>3.5.9</t>
  </si>
  <si>
    <t>3.5.10</t>
  </si>
  <si>
    <t>Doors Total Carried to Bill Sumary</t>
  </si>
  <si>
    <t xml:space="preserve">Windows Total Carried to Bill Summary </t>
  </si>
  <si>
    <t>3.7.5</t>
  </si>
  <si>
    <t>3.7.9</t>
  </si>
  <si>
    <t>3.7.10</t>
  </si>
  <si>
    <t>3.8.2</t>
  </si>
  <si>
    <t>3.8.3</t>
  </si>
  <si>
    <t>3.8.4</t>
  </si>
  <si>
    <t>Lighting and Power Fittings Total Carried to Main Summary</t>
  </si>
  <si>
    <t xml:space="preserve">Supply, Deliver, Install, Test and Commission the following AC indoor units including with all accessories including all connections as described. </t>
  </si>
  <si>
    <t>Wall mounted unit of cooling capacity: 12.3kW with inbuilt drain pump, power input: 0.15kW, single phase, Refrigerant R-410A complete with all hanging accessories, remote control, filter chamber, drain pump kit, suction canvas, ceiling panel, wiring from DP switch to fan coil unit, fabricated steel mounting brackets, steel frames and raw bolts, anti-vibration mountings. DP switch to be positioned next to the in door unit. The  indoor unit shall be to Daikin/Toshiba/LG make or approved equivalent.</t>
  </si>
  <si>
    <t>Total for Fans and AC Carried to Bill Summary</t>
  </si>
  <si>
    <t>BILL NO. 9: FANS and AC</t>
  </si>
  <si>
    <t>Subs Structure Total Carried to Bill Summary</t>
  </si>
  <si>
    <t>Library and Literacy Centre</t>
  </si>
  <si>
    <t>Door Total Carried to Bill Summary</t>
  </si>
  <si>
    <t>Windows Total Carried to Main Summary</t>
  </si>
  <si>
    <t>Light points Total Carried to Bill Summary</t>
  </si>
  <si>
    <t>BILL NO. 4 SUMMARY</t>
  </si>
  <si>
    <t>SECTION 5: IOM OFFICES</t>
  </si>
  <si>
    <t>Finishes Total Carried to Bill Summary</t>
  </si>
  <si>
    <t>SECTION 6: MEDICAL EXAM AND PARTNERS OFFICES</t>
  </si>
  <si>
    <t>Window Total Carried to Bill Summary</t>
  </si>
  <si>
    <t>Lightiing and Power Fittings Carried to Bill Summary</t>
  </si>
  <si>
    <t>Fans  Carried to Bill Summary</t>
  </si>
  <si>
    <t>Power Supply and Connection carried to Bill Summary</t>
  </si>
  <si>
    <t>BILL NO. 8 - DINING</t>
  </si>
  <si>
    <t>SUBSTRUCTURE TOTAL CARRIED TO BILL SUMMARY</t>
  </si>
  <si>
    <t>Roof Subtotal Carried to Forward</t>
  </si>
  <si>
    <t>Carried forward from Previous Page</t>
  </si>
  <si>
    <t>Roof Total Carried Forward to Bill Summary</t>
  </si>
  <si>
    <t>Door Total Carried Forward to Bill Summary</t>
  </si>
  <si>
    <t>Window Total Carried To Bill Summary</t>
  </si>
  <si>
    <t>Total for Lighting and Power Fittings carried to Bill Summary</t>
  </si>
  <si>
    <t>KITCHEN</t>
  </si>
  <si>
    <t>Add 10% Contigency</t>
  </si>
  <si>
    <t xml:space="preserve">SUB TOTAL AMOUNT </t>
  </si>
  <si>
    <t xml:space="preserve">Construct 200mm thick 800mm high massonry walls for shelves </t>
  </si>
  <si>
    <t>Formwork to slab</t>
  </si>
  <si>
    <t>Veneered mahogany 20mm thick in cupboard doors, divisions and shelves for bottom cabinets and drawers</t>
  </si>
  <si>
    <t>Total: top and and Bottom Cabinets</t>
  </si>
  <si>
    <t xml:space="preserve">Fixture Total  Carried Summary </t>
  </si>
  <si>
    <t>150 mm Roof slab</t>
  </si>
  <si>
    <t>Cartaway excavated material and spread on site as directed</t>
  </si>
  <si>
    <t xml:space="preserve">Return fill and ram suitable materials </t>
  </si>
  <si>
    <t>Keep al excavation free from water</t>
  </si>
  <si>
    <t>Excavate 800mm deep for solid block foundation by 400mm wide</t>
  </si>
  <si>
    <t>Column Bases and Foundation Columns</t>
  </si>
  <si>
    <t>Excavate for columns bases, 1000 x 1000 x 1200 deep</t>
  </si>
  <si>
    <t>To the column bases, foundation columns and edges of ground slabs 100 - 200mm wide</t>
  </si>
  <si>
    <t xml:space="preserve">BRC Mesh </t>
  </si>
  <si>
    <t>2.1.19</t>
  </si>
  <si>
    <t>2.1.20</t>
  </si>
  <si>
    <t>Substructure Walling</t>
  </si>
  <si>
    <t xml:space="preserve">Concrete Ceiling </t>
  </si>
  <si>
    <t>5.1.2</t>
  </si>
  <si>
    <t>5.1.3</t>
  </si>
  <si>
    <t>5.1.4</t>
  </si>
  <si>
    <t>5.1.5</t>
  </si>
  <si>
    <t>5.1.6</t>
  </si>
  <si>
    <t>5.1.7</t>
  </si>
  <si>
    <t>5.1.8</t>
  </si>
  <si>
    <t>5.1.9</t>
  </si>
  <si>
    <t>5.1.10</t>
  </si>
  <si>
    <t>5.1.11</t>
  </si>
  <si>
    <t>5.1.12</t>
  </si>
  <si>
    <t>5.1.13</t>
  </si>
  <si>
    <t>5.1.14</t>
  </si>
  <si>
    <t>5.1.15</t>
  </si>
  <si>
    <t>5.1.16</t>
  </si>
  <si>
    <t>5.1.17</t>
  </si>
  <si>
    <t>5.1.18</t>
  </si>
  <si>
    <t>5.1.19</t>
  </si>
  <si>
    <t>5.1.20</t>
  </si>
  <si>
    <t>5.5.1</t>
  </si>
  <si>
    <t>5.5.2</t>
  </si>
  <si>
    <t>5.5.3</t>
  </si>
  <si>
    <t>5.5.4</t>
  </si>
  <si>
    <t>5.3.2</t>
  </si>
  <si>
    <t>5.3.3</t>
  </si>
  <si>
    <t>5.3.4</t>
  </si>
  <si>
    <t>5.4.3</t>
  </si>
  <si>
    <t>5.4.4</t>
  </si>
  <si>
    <t>5.4.5</t>
  </si>
  <si>
    <t>5.4.6</t>
  </si>
  <si>
    <t>5.4.7</t>
  </si>
  <si>
    <t>5.4.8</t>
  </si>
  <si>
    <t>5.4.9</t>
  </si>
  <si>
    <t>5.4.10</t>
  </si>
  <si>
    <t>5.4.11</t>
  </si>
  <si>
    <t>5.4.12</t>
  </si>
  <si>
    <t>5.4.13</t>
  </si>
  <si>
    <t>5.4.14</t>
  </si>
  <si>
    <t>5.5.5</t>
  </si>
  <si>
    <t>5.5.6</t>
  </si>
  <si>
    <t>5.5.7</t>
  </si>
  <si>
    <t>5.5.8</t>
  </si>
  <si>
    <t>5.5.9</t>
  </si>
  <si>
    <t>5.6.1</t>
  </si>
  <si>
    <t>5.7.1</t>
  </si>
  <si>
    <t>5.7.2</t>
  </si>
  <si>
    <t>5.7.3</t>
  </si>
  <si>
    <t>5.7.4</t>
  </si>
  <si>
    <t>5.7.5</t>
  </si>
  <si>
    <t>5.7.9</t>
  </si>
  <si>
    <t>5.7.10</t>
  </si>
  <si>
    <t>5.8.1</t>
  </si>
  <si>
    <t>5.8.2</t>
  </si>
  <si>
    <t>5.8.3</t>
  </si>
  <si>
    <t>5.8.4</t>
  </si>
  <si>
    <t>5.9.1</t>
  </si>
  <si>
    <t>5.10.</t>
  </si>
  <si>
    <t>5.10.1</t>
  </si>
  <si>
    <t>TOTAL FOR IOM OFFICES CARRIED TO MAIN SUMMRY</t>
  </si>
  <si>
    <t>Sub Total Carried to froward to next Page</t>
  </si>
  <si>
    <t xml:space="preserve">Brought Forward from the preious Page </t>
  </si>
  <si>
    <t>Doors Sub Total Carried Forward</t>
  </si>
  <si>
    <t>Total Above Brought Forward</t>
  </si>
  <si>
    <t>Electrical Sub Total carried forward</t>
  </si>
  <si>
    <t>Sub Total Above brought Forward</t>
  </si>
  <si>
    <t>5.9.2</t>
  </si>
  <si>
    <t>BILL NO. 9: FANS AND Acs</t>
  </si>
  <si>
    <t>Excavate 600mm deep for solid block foundation 800 by 400mm wide</t>
  </si>
  <si>
    <t>.</t>
  </si>
  <si>
    <t>4.5.1</t>
  </si>
  <si>
    <t>4.5.2</t>
  </si>
  <si>
    <t>4.5.3</t>
  </si>
  <si>
    <t>4.5.4</t>
  </si>
  <si>
    <t>4.5.6</t>
  </si>
  <si>
    <t>4.5.5</t>
  </si>
  <si>
    <t>4.1.2</t>
  </si>
  <si>
    <t>4.1.3</t>
  </si>
  <si>
    <t>4.1.4</t>
  </si>
  <si>
    <t>4.1.5</t>
  </si>
  <si>
    <t>4.1.6</t>
  </si>
  <si>
    <t>4.1.7</t>
  </si>
  <si>
    <t>4.1.8</t>
  </si>
  <si>
    <t>4.1.9</t>
  </si>
  <si>
    <t>4.1.10</t>
  </si>
  <si>
    <t>4.1.11</t>
  </si>
  <si>
    <t>4.4.1</t>
  </si>
  <si>
    <t>4.4.2</t>
  </si>
  <si>
    <t>4.4.3</t>
  </si>
  <si>
    <t>4.4.4</t>
  </si>
  <si>
    <t>4.4.6</t>
  </si>
  <si>
    <t>4.4.7</t>
  </si>
  <si>
    <t>4.4.8</t>
  </si>
  <si>
    <t>4.4.9</t>
  </si>
  <si>
    <t>4.4.10</t>
  </si>
  <si>
    <t>4.4.11</t>
  </si>
  <si>
    <t>4.4.12</t>
  </si>
  <si>
    <t>4.4.15</t>
  </si>
  <si>
    <t>4.4.16</t>
  </si>
  <si>
    <t>4.4.17</t>
  </si>
  <si>
    <t>4.7.1</t>
  </si>
  <si>
    <t>4.7.2</t>
  </si>
  <si>
    <t>4.7.3</t>
  </si>
  <si>
    <t>4.7.4</t>
  </si>
  <si>
    <t>4.9.1</t>
  </si>
  <si>
    <t>4.1.12</t>
  </si>
  <si>
    <t>4.1.13</t>
  </si>
  <si>
    <t>4.1.14</t>
  </si>
  <si>
    <t>4.1.15</t>
  </si>
  <si>
    <t>4.1.16</t>
  </si>
  <si>
    <t>4.1.17</t>
  </si>
  <si>
    <t>4.1.18</t>
  </si>
  <si>
    <t>4.1.19</t>
  </si>
  <si>
    <t>4.1.20</t>
  </si>
  <si>
    <t>4.1.21</t>
  </si>
  <si>
    <t>4.1.22</t>
  </si>
  <si>
    <t>4.2.2</t>
  </si>
  <si>
    <t>4.2.3</t>
  </si>
  <si>
    <t>4.2.4</t>
  </si>
  <si>
    <t>4.2.5</t>
  </si>
  <si>
    <t>4.3.1</t>
  </si>
  <si>
    <t>4.3.2</t>
  </si>
  <si>
    <t>4.3.3</t>
  </si>
  <si>
    <t>4.3.4</t>
  </si>
  <si>
    <t xml:space="preserve">ELEMENT NO. 4 - ROOF </t>
  </si>
  <si>
    <t>4.5.7</t>
  </si>
  <si>
    <t>4.5.8</t>
  </si>
  <si>
    <t>4.5.9</t>
  </si>
  <si>
    <t>4.5.10</t>
  </si>
  <si>
    <t>4.6.1</t>
  </si>
  <si>
    <t>4.7.5</t>
  </si>
  <si>
    <t>4.7.6</t>
  </si>
  <si>
    <t>4.7.7</t>
  </si>
  <si>
    <t>4.8.1</t>
  </si>
  <si>
    <t>4.8.2</t>
  </si>
  <si>
    <t>4.8.3</t>
  </si>
  <si>
    <t>4.8.4</t>
  </si>
  <si>
    <t>6.1.1</t>
  </si>
  <si>
    <t>6.1.2</t>
  </si>
  <si>
    <t>6.1.3</t>
  </si>
  <si>
    <t>6.1.4</t>
  </si>
  <si>
    <t>6.1.5</t>
  </si>
  <si>
    <t>6.1.6</t>
  </si>
  <si>
    <t>6.1.7</t>
  </si>
  <si>
    <t>6.1.8</t>
  </si>
  <si>
    <t>6.1.9</t>
  </si>
  <si>
    <t>6.1.11</t>
  </si>
  <si>
    <t>6.1.12</t>
  </si>
  <si>
    <t>6.1.13</t>
  </si>
  <si>
    <t>6.1.14</t>
  </si>
  <si>
    <t>6.1.15</t>
  </si>
  <si>
    <t>6.1.16</t>
  </si>
  <si>
    <t>6.1.17</t>
  </si>
  <si>
    <t>6.6.1</t>
  </si>
  <si>
    <t>6.3.1</t>
  </si>
  <si>
    <t>6.3.2</t>
  </si>
  <si>
    <t>6.3.3</t>
  </si>
  <si>
    <t>6.3.4</t>
  </si>
  <si>
    <t>6.4.1</t>
  </si>
  <si>
    <t>6.4.2</t>
  </si>
  <si>
    <t>6.4.3</t>
  </si>
  <si>
    <t>6.4.4</t>
  </si>
  <si>
    <t>6.4.5</t>
  </si>
  <si>
    <t>6.4.6</t>
  </si>
  <si>
    <t>6.4.7</t>
  </si>
  <si>
    <t>6.4.8</t>
  </si>
  <si>
    <t>6.4.9</t>
  </si>
  <si>
    <t>6.5.1</t>
  </si>
  <si>
    <t>6.7.1</t>
  </si>
  <si>
    <t>6.7.2</t>
  </si>
  <si>
    <t>6.7.3</t>
  </si>
  <si>
    <t>6.7.4</t>
  </si>
  <si>
    <t>6.7.5</t>
  </si>
  <si>
    <t>6.7.6</t>
  </si>
  <si>
    <t>6.7.8</t>
  </si>
  <si>
    <t>6.8.1</t>
  </si>
  <si>
    <t>6.9.1</t>
  </si>
  <si>
    <t>6.1.10</t>
  </si>
  <si>
    <t>6.4.10</t>
  </si>
  <si>
    <t>6.4.11</t>
  </si>
  <si>
    <t>6.4.12</t>
  </si>
  <si>
    <t>6.4.15</t>
  </si>
  <si>
    <t>6.4.16</t>
  </si>
  <si>
    <t>6.4.17</t>
  </si>
  <si>
    <t>6.4.13</t>
  </si>
  <si>
    <t>6.4.14</t>
  </si>
  <si>
    <t>6.5.2</t>
  </si>
  <si>
    <t>6.5.3</t>
  </si>
  <si>
    <t>6.5.5</t>
  </si>
  <si>
    <t>6.5.6</t>
  </si>
  <si>
    <t>6.5.7</t>
  </si>
  <si>
    <t>6.5.8</t>
  </si>
  <si>
    <t>6.5.9</t>
  </si>
  <si>
    <t>6.1.18</t>
  </si>
  <si>
    <t>6.1.19</t>
  </si>
  <si>
    <t>6.1.20</t>
  </si>
  <si>
    <t>6.1.21</t>
  </si>
  <si>
    <t>6.2.1</t>
  </si>
  <si>
    <t>6.2.2</t>
  </si>
  <si>
    <t>6.2.3</t>
  </si>
  <si>
    <t>6.2.4</t>
  </si>
  <si>
    <t>6.2.5</t>
  </si>
  <si>
    <t>6.2.6</t>
  </si>
  <si>
    <t>3.1.18</t>
  </si>
  <si>
    <t>7.1.1</t>
  </si>
  <si>
    <t>7.1.2</t>
  </si>
  <si>
    <t>7.1.3</t>
  </si>
  <si>
    <t>7.1.4</t>
  </si>
  <si>
    <t>7.1.5</t>
  </si>
  <si>
    <t>7.1.6</t>
  </si>
  <si>
    <t>7.1.7</t>
  </si>
  <si>
    <t>7.1.8</t>
  </si>
  <si>
    <t>7.1.9</t>
  </si>
  <si>
    <t>7.1.10</t>
  </si>
  <si>
    <t>7.1.11</t>
  </si>
  <si>
    <t>7.1.13</t>
  </si>
  <si>
    <t>7.1.15</t>
  </si>
  <si>
    <t>7.1.17</t>
  </si>
  <si>
    <t>7.1.19</t>
  </si>
  <si>
    <t>7.1.22</t>
  </si>
  <si>
    <t>7.1.23</t>
  </si>
  <si>
    <t>7.1.24</t>
  </si>
  <si>
    <t>7.1.20</t>
  </si>
  <si>
    <t>7.1.21</t>
  </si>
  <si>
    <t>7.2.1</t>
  </si>
  <si>
    <t>7.2.3</t>
  </si>
  <si>
    <t>7.2.4</t>
  </si>
  <si>
    <t>7.2.5</t>
  </si>
  <si>
    <t>7.4.1</t>
  </si>
  <si>
    <t>7.5.1</t>
  </si>
  <si>
    <t>7.5.2</t>
  </si>
  <si>
    <t>7.9.1</t>
  </si>
  <si>
    <t>7.11.1</t>
  </si>
  <si>
    <t>7.11.2</t>
  </si>
  <si>
    <t>7.12.1</t>
  </si>
  <si>
    <t>7.12.2</t>
  </si>
  <si>
    <t>7.12.3</t>
  </si>
  <si>
    <t>7.12.4</t>
  </si>
  <si>
    <t>7.12.5</t>
  </si>
  <si>
    <t>7.12.6</t>
  </si>
  <si>
    <t>7.12.7</t>
  </si>
  <si>
    <t>7.12.8</t>
  </si>
  <si>
    <t>7.12.9</t>
  </si>
  <si>
    <t xml:space="preserve">SECTION 7: KITCHEN </t>
  </si>
  <si>
    <t>Total Carried to Bill Summary</t>
  </si>
  <si>
    <t>7.3.1</t>
  </si>
  <si>
    <t>7.3.2</t>
  </si>
  <si>
    <t>7.4.4</t>
  </si>
  <si>
    <t>7.4.3</t>
  </si>
  <si>
    <t>7.4.5</t>
  </si>
  <si>
    <t>7.4.6</t>
  </si>
  <si>
    <t>7.4.7</t>
  </si>
  <si>
    <t>7.4.8</t>
  </si>
  <si>
    <t>7.4.9</t>
  </si>
  <si>
    <t>7.4.10</t>
  </si>
  <si>
    <t>7.4.11</t>
  </si>
  <si>
    <t>7.4.12</t>
  </si>
  <si>
    <t>7.4.14</t>
  </si>
  <si>
    <t>7.4.15</t>
  </si>
  <si>
    <t>7.6.1</t>
  </si>
  <si>
    <t>7.6.2</t>
  </si>
  <si>
    <t>Page Total Carried to Bill Summary</t>
  </si>
  <si>
    <t xml:space="preserve">Prepare and apply two undercoats of brilliant white emulsion paint (RAL Code 9001) and two finishing coats of first quality brilliant white Silk Vinyl emulsion paint (RAL Code 9001) to;- </t>
  </si>
  <si>
    <t>Tota Carried to Bill Summary</t>
  </si>
  <si>
    <t>Allow for structured cabling with network points as described neatly concealed in 4x2" metal trunking</t>
  </si>
  <si>
    <t>Ttoal Carried to Bill Summary</t>
  </si>
  <si>
    <t xml:space="preserve">Page Total Carried </t>
  </si>
  <si>
    <t xml:space="preserve">Total brought Forward </t>
  </si>
  <si>
    <t>Beams, columns and roof slabs</t>
  </si>
  <si>
    <t>Sides and soffits of beams and floor sab</t>
  </si>
  <si>
    <t>8.1.11</t>
  </si>
  <si>
    <t>8.1.12</t>
  </si>
  <si>
    <t>8.1.13</t>
  </si>
  <si>
    <t>8.1.14</t>
  </si>
  <si>
    <t>8.1.16</t>
  </si>
  <si>
    <t>8.8.1</t>
  </si>
  <si>
    <t>8.8.2</t>
  </si>
  <si>
    <t>8.8.3</t>
  </si>
  <si>
    <t>8.3.1</t>
  </si>
  <si>
    <t>8.3.2</t>
  </si>
  <si>
    <t>8.3.3</t>
  </si>
  <si>
    <t>8.3.4</t>
  </si>
  <si>
    <t>8.7.1</t>
  </si>
  <si>
    <t>8.7.2</t>
  </si>
  <si>
    <t>8.7.3</t>
  </si>
  <si>
    <t>8.7.4</t>
  </si>
  <si>
    <t>Concrete or masonry surfaces internally, ie beams and slab</t>
  </si>
  <si>
    <t>Plastered concrete surfaces internally</t>
  </si>
  <si>
    <t>8.1.18</t>
  </si>
  <si>
    <t>8.1.19</t>
  </si>
  <si>
    <t>BILL NO. 8 SHLEVES AND WORKTOPS</t>
  </si>
  <si>
    <t>ELEMENT NO. 9 : PLUMBING INSTALLATIONS</t>
  </si>
  <si>
    <t>ELEMENT NO. 10 : ELECTRICAL INSTALLATIONS</t>
  </si>
  <si>
    <t>19.1.1</t>
  </si>
  <si>
    <t>Mesh reference A142 weighing 19.22 kilogrammes per square metre  to surface beds</t>
  </si>
  <si>
    <t>Supply and installation of fused shuttered switched socket outlet to comply with relevant BS standard (Clipsal, Orange, Crabtree/ Tenby/ABB or equivalent). Wiring (including supply of earth wire and all other material required) of above socket outlet using approved type 19.5mm² PVC/PVC copper cable and 19.5mm² earth wire  drawn through securely fixed concealed PVC conduit in a ring circuit.</t>
  </si>
  <si>
    <t>19.4.1</t>
  </si>
  <si>
    <t>19.5.1</t>
  </si>
  <si>
    <t>19.6.1</t>
  </si>
  <si>
    <t>19.7.1</t>
  </si>
  <si>
    <t>19.7.2</t>
  </si>
  <si>
    <t>19.8.1</t>
  </si>
  <si>
    <t>19.8.2</t>
  </si>
  <si>
    <t>19.9.1</t>
  </si>
  <si>
    <t>Wiring and installation (including supply of all materials) of the light points using approved type PVC insulated PVC sheathed 19.5 mm² copper cables and 19.5mm² earth cable drawn through securely fixed concealed PVC conduit, to the walls and slab surfaces Socket outlet points</t>
  </si>
  <si>
    <t>19.1.2</t>
  </si>
  <si>
    <t>19.2.1</t>
  </si>
  <si>
    <t>SECTION NO. 8</t>
  </si>
  <si>
    <t>DINING</t>
  </si>
  <si>
    <t>3 Room Accommodation 4.2 by 6.5m</t>
  </si>
  <si>
    <t>Excavate 400mm deep for solid block foundation by 400mm wide</t>
  </si>
  <si>
    <r>
      <t>m</t>
    </r>
    <r>
      <rPr>
        <vertAlign val="superscript"/>
        <sz val="11"/>
        <color indexed="8"/>
        <rFont val="Calibri"/>
        <family val="2"/>
        <scheme val="minor"/>
      </rPr>
      <t>3</t>
    </r>
    <r>
      <rPr>
        <sz val="11"/>
        <color theme="1"/>
        <rFont val="Calibri"/>
        <family val="2"/>
        <scheme val="minor"/>
      </rPr>
      <t/>
    </r>
  </si>
  <si>
    <t>To the edges of ground slabs 100 - 200mm wide, ground beam and foundation strip</t>
  </si>
  <si>
    <t xml:space="preserve">10mm bars </t>
  </si>
  <si>
    <t>Ground floor Beams</t>
  </si>
  <si>
    <t>150 mm roof slab</t>
  </si>
  <si>
    <t>columns</t>
  </si>
  <si>
    <t>16mm ditto</t>
  </si>
  <si>
    <t>Walling bedded and jointed in cement and sand (1:4) mortar, reinforcement with and including 25mm wide x 20 gauge hoop iron at every alternate course as described in:</t>
  </si>
  <si>
    <t>400mmUncoursed rubble stones thick walling externally 3m high</t>
  </si>
  <si>
    <t>400mm wide</t>
  </si>
  <si>
    <t>ELEMENT NO. 4: ROOF</t>
  </si>
  <si>
    <t>100 x 50 mm as truss external members</t>
  </si>
  <si>
    <t>75x50mm internal members</t>
  </si>
  <si>
    <t>Page Total Carried to Summary</t>
  </si>
  <si>
    <t>ELEMENT NO. 5 - DOORS</t>
  </si>
  <si>
    <t>Solid hardwood single leaf panel door 45mm thick overall size 900x2100mm (both faces panelled)</t>
  </si>
  <si>
    <t>Solid hardwood doubleleaf panel door 45mm thick overall size 1800x2100mm (both faces panelled)</t>
  </si>
  <si>
    <t>Total for Door Carried to Summary</t>
  </si>
  <si>
    <t>ELEMENT NO. 6 - WINDOWS</t>
  </si>
  <si>
    <t>Total For Window carried to Element Summary</t>
  </si>
  <si>
    <t>Concrete or masonry surfaces externally 12mm (minimum) two coat lime plaster as described to</t>
  </si>
  <si>
    <t>ELEMENT NO. 8: ELECTRICAL INSTALLATIONS AND SERVICES</t>
  </si>
  <si>
    <t xml:space="preserve">Electrical Total Carried to Summary </t>
  </si>
  <si>
    <t>ELEMENT NO. 9: FIXTURES - CLOTHES SHELVES CABINETS AND DRAWERS</t>
  </si>
  <si>
    <t xml:space="preserve">TOTAL FOR ACCOMMODATION BLOCK </t>
  </si>
  <si>
    <t>TOTAL FOR TWO (2) ACCOMMODATION BLOCKS CARRIED TO GRAND SUMMARY</t>
  </si>
  <si>
    <t>High yield square twisted reinforcement bars to B.S 4461 in strip foundation, foundation beam and foundation columns and bases and roof slab</t>
  </si>
  <si>
    <t>Ceiling Slab finishs</t>
  </si>
  <si>
    <t>Palstered Ceiling</t>
  </si>
  <si>
    <t>Sub Total For One Training and Material Storage</t>
  </si>
  <si>
    <t>Total Carried to Bill Sumary</t>
  </si>
  <si>
    <t>8.9.1</t>
  </si>
  <si>
    <t>8.1.1</t>
  </si>
  <si>
    <t>8.1.2</t>
  </si>
  <si>
    <t>8.1.3</t>
  </si>
  <si>
    <t>8.1.4</t>
  </si>
  <si>
    <t>8.1.5</t>
  </si>
  <si>
    <t>8.1.6</t>
  </si>
  <si>
    <t>8.1.7</t>
  </si>
  <si>
    <t>8.1.8</t>
  </si>
  <si>
    <t>8.1.9</t>
  </si>
  <si>
    <t>8.4.1</t>
  </si>
  <si>
    <t>8.4.2</t>
  </si>
  <si>
    <t>8.4.3</t>
  </si>
  <si>
    <t>8.4.4</t>
  </si>
  <si>
    <t>8.4.6</t>
  </si>
  <si>
    <t>8.4.7</t>
  </si>
  <si>
    <t>8.4.9</t>
  </si>
  <si>
    <t>8.5.1</t>
  </si>
  <si>
    <t>8.1.20</t>
  </si>
  <si>
    <t>8.1.21</t>
  </si>
  <si>
    <t>8.1.22</t>
  </si>
  <si>
    <t>8.2.1</t>
  </si>
  <si>
    <t>8.2.2</t>
  </si>
  <si>
    <t>8.2.3</t>
  </si>
  <si>
    <t>8.2.4</t>
  </si>
  <si>
    <t>8.4.10</t>
  </si>
  <si>
    <t>8.4.11</t>
  </si>
  <si>
    <t>8.4.12</t>
  </si>
  <si>
    <t>8.4.15</t>
  </si>
  <si>
    <t>8.4.16</t>
  </si>
  <si>
    <t>8.4.17</t>
  </si>
  <si>
    <t>8.5.2</t>
  </si>
  <si>
    <t>8.5.3</t>
  </si>
  <si>
    <t>8.5.5</t>
  </si>
  <si>
    <t>8.5.6</t>
  </si>
  <si>
    <t>8.5.7</t>
  </si>
  <si>
    <t>8.5.8</t>
  </si>
  <si>
    <t>8.5.9</t>
  </si>
  <si>
    <t>8.6.1</t>
  </si>
  <si>
    <t>8.7.5</t>
  </si>
  <si>
    <t>8.7.6</t>
  </si>
  <si>
    <t>8.7.7</t>
  </si>
  <si>
    <t xml:space="preserve">ELEMENT NO. 10 WASH AREA FOR PRAYERS </t>
  </si>
  <si>
    <t>Construct 1 No continuous concrete bench consisting of 400x2000x100mm thick reinforced concrete slab with T8 @ 200mm C/C on double 200mm thick by 400mm high  block wall with an extra 400mm bellow the ground .  Construct also 800mm high by 200mm thick by 2000mm long  block wall for the support of plumbing and water tap.  Fill the area between the wall and the bench  with hard-core and 100mm thick reinforced concrete slab with T8 200mm C/C 2000mm long at the top and   steel trowel to a  smooth finish. Fix 3No. taps to specification. Tile all areas in contact with water including the bench.</t>
  </si>
  <si>
    <t xml:space="preserve">Total  carried to  Summary </t>
  </si>
  <si>
    <t>ELEMENT NO. 11: SOAK PIT 1 No.</t>
  </si>
  <si>
    <t>Excavate 1.5m diameter x 3.5m depth pit each</t>
  </si>
  <si>
    <t>C.M</t>
  </si>
  <si>
    <t>Backfill with well packed approved hard-core to 2m depth</t>
  </si>
  <si>
    <t>Plastic sheeting</t>
  </si>
  <si>
    <t>S.M</t>
  </si>
  <si>
    <t>200mm thick normal soil backfill</t>
  </si>
  <si>
    <t>Total  Carried  Summary</t>
  </si>
  <si>
    <t>3.10.1</t>
  </si>
  <si>
    <t>3.11.1</t>
  </si>
  <si>
    <t>3.11.2</t>
  </si>
  <si>
    <t>3.11.3</t>
  </si>
  <si>
    <t>3.11.4</t>
  </si>
  <si>
    <t>3.8.5</t>
  </si>
  <si>
    <t>3.9.2</t>
  </si>
  <si>
    <t>SECTION 11: STAFF TOILETS</t>
  </si>
  <si>
    <t>Ring Beam</t>
  </si>
  <si>
    <t xml:space="preserve">Sides and soffits of beams </t>
  </si>
  <si>
    <t>200mm thick walling externally 3m high</t>
  </si>
  <si>
    <t>11.3.3</t>
  </si>
  <si>
    <t>11.3.4</t>
  </si>
  <si>
    <t>ELEMENT NO. 4:  ROOF</t>
  </si>
  <si>
    <t>Solid T&amp;G door complete with latch and all necessary hinges</t>
  </si>
  <si>
    <t xml:space="preserve">200x200mm Hollow block  stone walling bedded and jointed in </t>
  </si>
  <si>
    <t>Extra over for Louvered vents, 5mx3m at the buffer wall</t>
  </si>
  <si>
    <t>Fubricate  and fix T 12 steel bars ventilation, 300mm x 600m high</t>
  </si>
  <si>
    <t>1200mm Energy saving lights</t>
  </si>
  <si>
    <t>ELEMENT NO. 5: DOORS AND WINDOWS</t>
  </si>
  <si>
    <t>11.5.58</t>
  </si>
  <si>
    <t>11.5.36</t>
  </si>
  <si>
    <t>11.5.37</t>
  </si>
  <si>
    <t>ELEMENT NO. 6: FINISHES</t>
  </si>
  <si>
    <t>11.6.1</t>
  </si>
  <si>
    <t>11.6.2</t>
  </si>
  <si>
    <t>Wall Finishes</t>
  </si>
  <si>
    <t>11.6.3</t>
  </si>
  <si>
    <t>11.6.4</t>
  </si>
  <si>
    <t>Concrete beam and masonry surfaces internally</t>
  </si>
  <si>
    <t>BILL NO. 7: ELECTRICAL INSTALLATIONS AND SERVICES</t>
  </si>
  <si>
    <t>11.7.1</t>
  </si>
  <si>
    <t>11.7.2</t>
  </si>
  <si>
    <t>11.7.3</t>
  </si>
  <si>
    <t>BILL NO. 8: MECHANICAL INSTALLATIONS AND SERVICES</t>
  </si>
  <si>
    <t>11.8.1</t>
  </si>
  <si>
    <t>11.8.2</t>
  </si>
  <si>
    <t>11.8.3</t>
  </si>
  <si>
    <t>11.8.8</t>
  </si>
  <si>
    <t>11.8.5</t>
  </si>
  <si>
    <t>11.8.6</t>
  </si>
  <si>
    <t>11.8.7</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</si>
  <si>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</si>
  <si>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</si>
  <si>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</si>
  <si>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</si>
  <si>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</si>
  <si>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</si>
  <si>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</si>
  <si>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</si>
  <si>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</si>
  <si>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</si>
  <si>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</si>
  <si>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</si>
  <si>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</si>
  <si>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</si>
  <si>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</si>
  <si>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</si>
  <si>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</si>
  <si>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</si>
  <si>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</si>
  <si>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</si>
  <si>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3,000 litres Cold water tanks as roto, dimensions 1610 mm diameter X1520mm high, placed on the trusses</t>
  </si>
  <si>
    <t>TOTAL CARRIED TO BILL SUMMARY</t>
  </si>
  <si>
    <t>BILL NO. 9: SANITARY FITTINGS</t>
  </si>
  <si>
    <t>11.9.1</t>
  </si>
  <si>
    <t>11.9.2</t>
  </si>
  <si>
    <t>11.9.3</t>
  </si>
  <si>
    <t>11.9.4</t>
  </si>
  <si>
    <t>11.9.5</t>
  </si>
  <si>
    <t>11.9.6</t>
  </si>
  <si>
    <t>11.9.7</t>
  </si>
  <si>
    <t>11.9.8</t>
  </si>
  <si>
    <t>11.9.9</t>
  </si>
  <si>
    <t>Total Carried tO bill Summary</t>
  </si>
  <si>
    <t>Total For Roof Carried to Bill Summary</t>
  </si>
  <si>
    <t>Total for Roof Carried to Bill Summary</t>
  </si>
  <si>
    <t>50 x 200mm Ridge board</t>
  </si>
  <si>
    <t>11.9.10</t>
  </si>
  <si>
    <t>11.9.11</t>
  </si>
  <si>
    <t>11.9.12</t>
  </si>
  <si>
    <t>Shower heads complete with all accessories</t>
  </si>
  <si>
    <t>Taps inside the showers complete</t>
  </si>
  <si>
    <t>SECTION NO. 19</t>
  </si>
  <si>
    <t>SECTION 20</t>
  </si>
  <si>
    <t>Toilets and showers</t>
  </si>
  <si>
    <t>PROPOSED WOMEN CENTRE KISIMAYO</t>
  </si>
  <si>
    <t>SECTION 17: ACCOMMODATION</t>
  </si>
  <si>
    <t>17.1.1</t>
  </si>
  <si>
    <t>17.1.2</t>
  </si>
  <si>
    <t>17.1.3</t>
  </si>
  <si>
    <t>17.1.4</t>
  </si>
  <si>
    <t>17.1.5</t>
  </si>
  <si>
    <t>17.1.6</t>
  </si>
  <si>
    <t>17.1.7</t>
  </si>
  <si>
    <t>17.1.8</t>
  </si>
  <si>
    <t>17.1.9</t>
  </si>
  <si>
    <t>17.1.10</t>
  </si>
  <si>
    <t>17.1.11</t>
  </si>
  <si>
    <t>17.1.12</t>
  </si>
  <si>
    <t>17.1.13</t>
  </si>
  <si>
    <t>17.4.1</t>
  </si>
  <si>
    <t>17.4.2</t>
  </si>
  <si>
    <t>17.4.3</t>
  </si>
  <si>
    <t>17.4.4</t>
  </si>
  <si>
    <t>17.4.5</t>
  </si>
  <si>
    <t>17.4.6</t>
  </si>
  <si>
    <t>17.4.7</t>
  </si>
  <si>
    <t>17.4.8</t>
  </si>
  <si>
    <t>17.4.9</t>
  </si>
  <si>
    <t>17.4.10</t>
  </si>
  <si>
    <t>17.4.11</t>
  </si>
  <si>
    <t>17.4.12</t>
  </si>
  <si>
    <t>17.4.13</t>
  </si>
  <si>
    <t>17.4.14</t>
  </si>
  <si>
    <t>17.4.15</t>
  </si>
  <si>
    <t>17.4.16</t>
  </si>
  <si>
    <t>17.4.17</t>
  </si>
  <si>
    <t>17.4.18</t>
  </si>
  <si>
    <t>17.4.19</t>
  </si>
  <si>
    <t>17.5.1</t>
  </si>
  <si>
    <t>17.5.2</t>
  </si>
  <si>
    <t>17.5.3</t>
  </si>
  <si>
    <t>17.5.4</t>
  </si>
  <si>
    <t>17.5.5</t>
  </si>
  <si>
    <t>17.5.6</t>
  </si>
  <si>
    <t>17.5.7</t>
  </si>
  <si>
    <t>17.5.8</t>
  </si>
  <si>
    <t>17.5.9</t>
  </si>
  <si>
    <t>17.5.10</t>
  </si>
  <si>
    <t>17.6.1</t>
  </si>
  <si>
    <t>17.7.1</t>
  </si>
  <si>
    <t>17.7.2</t>
  </si>
  <si>
    <t>17.7.3</t>
  </si>
  <si>
    <t>17.7.4</t>
  </si>
  <si>
    <t>17.7.5</t>
  </si>
  <si>
    <t>17.7.8</t>
  </si>
  <si>
    <t>17.7.9</t>
  </si>
  <si>
    <t>17.7.10</t>
  </si>
  <si>
    <t>17.8.1</t>
  </si>
  <si>
    <t>17.8.2</t>
  </si>
  <si>
    <t>17.8.3</t>
  </si>
  <si>
    <t>17.8.4</t>
  </si>
  <si>
    <t>17.8.5</t>
  </si>
  <si>
    <t>17.9.1</t>
  </si>
  <si>
    <t>17.9.2</t>
  </si>
  <si>
    <t>17.9.3</t>
  </si>
  <si>
    <t>17.9.4</t>
  </si>
  <si>
    <t>17.9.5</t>
  </si>
  <si>
    <t>17.9.6</t>
  </si>
  <si>
    <t>17.9.7</t>
  </si>
  <si>
    <t>17.9.8</t>
  </si>
  <si>
    <t>17.9.9</t>
  </si>
  <si>
    <t>17.9.10</t>
  </si>
  <si>
    <t>17.9.11</t>
  </si>
  <si>
    <t>17.9.12</t>
  </si>
  <si>
    <t>17.9.13</t>
  </si>
  <si>
    <t>17.1.14</t>
  </si>
  <si>
    <t>17.1.15</t>
  </si>
  <si>
    <t>17.1.16</t>
  </si>
  <si>
    <t>17.2.1</t>
  </si>
  <si>
    <t>17.2.2</t>
  </si>
  <si>
    <t>17.2.3</t>
  </si>
  <si>
    <t>17.2.4</t>
  </si>
  <si>
    <t>17.3.5</t>
  </si>
  <si>
    <t>17.2.5</t>
  </si>
  <si>
    <t>17.3.1</t>
  </si>
  <si>
    <t>17.3.2</t>
  </si>
  <si>
    <t>17.3.3</t>
  </si>
  <si>
    <t>17.3.4</t>
  </si>
  <si>
    <t xml:space="preserve">SECTION NO. 17: </t>
  </si>
  <si>
    <t>SECTION 16</t>
  </si>
  <si>
    <t>Street Lights</t>
  </si>
  <si>
    <t>PROPOSED  STREETLIGHT INSTALLATION</t>
  </si>
  <si>
    <t>ELEMENT NO. 1</t>
  </si>
  <si>
    <t>Solar Streetlights</t>
  </si>
  <si>
    <t xml:space="preserve">Supply solar panel lights packed with battery, light source socket, controller that regulates batteries and has a low voltage disconnect, light fixture, light fixture mounting bracket, battery box, and the entire solar lighting </t>
  </si>
  <si>
    <t xml:space="preserve">Assemble solar panel lights packed with battery, light source socket, controller that regulates batteries and has a low voltage disconnect, light fixture, light fixture mounting bracket, battery box, and the entire solar lighting mounted to a pole, together with the accessories, cables, etc. </t>
  </si>
  <si>
    <t>Fix or install solar panel lights packed with battery, light source socket, controller that regulates batteries and has a low voltage disconnect, light fixture, light fixture mounting bracket, battery box, and the entire solar lighting mounted to a pole, together with the accessories, cables, etc.</t>
  </si>
  <si>
    <t>US$</t>
  </si>
  <si>
    <t>KISMAYO FEMALE TRANSITION CENTRE</t>
  </si>
  <si>
    <t xml:space="preserve">SECTION 16: SOLAR STREETLIGHTS </t>
  </si>
  <si>
    <t>Section Total Carried Forward</t>
  </si>
  <si>
    <t>5.1.21</t>
  </si>
  <si>
    <t>5.2.1</t>
  </si>
  <si>
    <t>5.2.2</t>
  </si>
  <si>
    <t>5.2.3</t>
  </si>
  <si>
    <t>5.2.4</t>
  </si>
  <si>
    <t>5.2.5</t>
  </si>
  <si>
    <t>5.2.6</t>
  </si>
  <si>
    <t>BILL 5 SUMMARY: IOM OFFICES</t>
  </si>
  <si>
    <t xml:space="preserve">ELEMENT NO. 8: LIGHTING &amp; POWER FITTINGS </t>
  </si>
  <si>
    <t>6.8.2</t>
  </si>
  <si>
    <t>6.8.3</t>
  </si>
  <si>
    <t>6.8.4</t>
  </si>
  <si>
    <t>ELEMENT NO. 9 FANS</t>
  </si>
  <si>
    <t>6.10.1</t>
  </si>
  <si>
    <t xml:space="preserve"> BILL ELEMENT NO 10: POWER SUPPLY AND CONNECTION </t>
  </si>
  <si>
    <t>ELEMENT NO. 6: WINDOWS</t>
  </si>
  <si>
    <t>ELEMENT NO. 5 : DOORS</t>
  </si>
  <si>
    <t>BILL NO. 6 SUMMARY: MEDICAL EXAM AND PARTNERS</t>
  </si>
  <si>
    <t>7.7.1</t>
  </si>
  <si>
    <t>7.7.2</t>
  </si>
  <si>
    <t>7.7.3</t>
  </si>
  <si>
    <t>7.7.4</t>
  </si>
  <si>
    <t>7.7.5</t>
  </si>
  <si>
    <t>7.7.6</t>
  </si>
  <si>
    <t>7.8.7</t>
  </si>
  <si>
    <t>7.8.8</t>
  </si>
  <si>
    <t>7.7.7</t>
  </si>
  <si>
    <t>7.7.8</t>
  </si>
  <si>
    <t>7.8.1</t>
  </si>
  <si>
    <t>7.8.2</t>
  </si>
  <si>
    <t>7.8.3</t>
  </si>
  <si>
    <t>7.8.4</t>
  </si>
  <si>
    <t>7.8.5</t>
  </si>
  <si>
    <t>7.8.6</t>
  </si>
  <si>
    <t>7.8.9</t>
  </si>
  <si>
    <t>7.8.10</t>
  </si>
  <si>
    <t>7.8.11</t>
  </si>
  <si>
    <t>7.8.12</t>
  </si>
  <si>
    <t>7.8.13</t>
  </si>
  <si>
    <t>7.8.14</t>
  </si>
  <si>
    <t>7.8.15</t>
  </si>
  <si>
    <t>7.8.16</t>
  </si>
  <si>
    <t xml:space="preserve">SECTION 13: KITCHEN </t>
  </si>
  <si>
    <t>7.13.1</t>
  </si>
  <si>
    <t xml:space="preserve"> jointed in cement and sand (1:3) mortar : reinforced with 20mm hoop iron in every alternate course : flush veritcal and hoirzontal joints </t>
  </si>
  <si>
    <t xml:space="preserve">In-situ concrete class 20/20 mm : vibrated : reinforced : allow for all neccessary formwork </t>
  </si>
  <si>
    <t>19.4.2</t>
  </si>
  <si>
    <t>19.4.3</t>
  </si>
  <si>
    <t>19.4.4</t>
  </si>
  <si>
    <t xml:space="preserve">15 mm Thick Lime plaster : steel trowelled finish : on concrete or blockwork : to </t>
  </si>
  <si>
    <t xml:space="preserve">Prepare and apply three coats 1st grade plastic  emulsion paint to approval : on </t>
  </si>
  <si>
    <t>19.7.3</t>
  </si>
  <si>
    <t>19.7.4</t>
  </si>
  <si>
    <t>19.7.5</t>
  </si>
  <si>
    <t>19.8.3</t>
  </si>
  <si>
    <t>19.8.4</t>
  </si>
  <si>
    <t>Section Summary Carried to Bill Summary</t>
  </si>
  <si>
    <t>Total Substructure Carried to Bill Summary</t>
  </si>
  <si>
    <t>19.1.3</t>
  </si>
  <si>
    <t>19.1.4</t>
  </si>
  <si>
    <t>19.1.5</t>
  </si>
  <si>
    <t>19.1.6</t>
  </si>
  <si>
    <t>19.1.7</t>
  </si>
  <si>
    <t>19.1.8</t>
  </si>
  <si>
    <t>19.1.9</t>
  </si>
  <si>
    <t>19.1.10</t>
  </si>
  <si>
    <t>19.1.11</t>
  </si>
  <si>
    <t xml:space="preserve">High yield square twisted rod reinforcement to BS 4461 and Mild  steel bar reinforcement to BS 4449 (all provisional) </t>
  </si>
  <si>
    <t>19.1.12</t>
  </si>
  <si>
    <t>19.1.13</t>
  </si>
  <si>
    <t>19.1.14</t>
  </si>
  <si>
    <t>19.1.15</t>
  </si>
  <si>
    <t>19.1.16</t>
  </si>
  <si>
    <t>19.2.2</t>
  </si>
  <si>
    <t>19.2.3</t>
  </si>
  <si>
    <t>19.2.4</t>
  </si>
  <si>
    <t>Section Total Carried to Bill Summary</t>
  </si>
  <si>
    <t>ELEMENT NO. 4: ROOFING</t>
  </si>
  <si>
    <t>ELEMENT NO. 5: DOORS AND IRON MONGERY</t>
  </si>
  <si>
    <t xml:space="preserve">Single leaf door overall size 900 x 2200mm high steel door compelete with iron mongery Door  </t>
  </si>
  <si>
    <t>ELEMENT NO. 9: FANS</t>
  </si>
  <si>
    <t>sseCTION Summary Carried to Bill Summary</t>
  </si>
  <si>
    <t xml:space="preserve">ELEMENT NO. 7: INTERNAL FINISHES </t>
  </si>
  <si>
    <t>BILL 17 SUMMARY - ACCOMMODATION</t>
  </si>
  <si>
    <t>BILL 19: SUMMARY: SECURITY HOUSE</t>
  </si>
  <si>
    <t>BILL NO. 13 SUMMARY: SECURITY FENCE</t>
  </si>
  <si>
    <t>BILL NO. 11: STAFF TOILETS</t>
  </si>
  <si>
    <t>TOTAL SEPTIC TANK CARRIED TO GRAND SUMMARY</t>
  </si>
  <si>
    <t>SUMMARY BILL NO. 9 - WATCH TOWER</t>
  </si>
  <si>
    <t>BILL NO. 8 SUMMARY: DINING</t>
  </si>
  <si>
    <t>BILL NO. 7: KITCHEN</t>
  </si>
  <si>
    <t>BILL NO. 4: LIBRARY AND LITERACY CENTRE</t>
  </si>
  <si>
    <t>BILL NO. 3: COUNSELLING AND PRAYER HALL</t>
  </si>
  <si>
    <t xml:space="preserve">BILL NO. 2: VOCATIONAL TRAINING </t>
  </si>
  <si>
    <t>Provide shadenets over the benches for shade</t>
  </si>
  <si>
    <t xml:space="preserve">Privide and install woodend rest  benches,2.5m long each around the compacted ground </t>
  </si>
  <si>
    <t>BILL NO. 1: REST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</si>
</sst>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_(&quot;$&quot;* \(#,##0.00\);_(&quot;$&quot;* &quot;-&quot;??_);_(@_)"/>
    <numFmt numFmtId="43" formatCode="_(* #,##0.00_);_(* \(#,##0.00\);_(* &quot;-&quot;??_);_(@_)"/>
    <numFmt numFmtId="164" formatCode="_-* #,##0.00_-;\-* #,##0.00_-;_-* &quot;-&quot;??_-;_-@_-"/>
    <numFmt numFmtId="165" formatCode="#,##0.0"/>
    <numFmt numFmtId="166" formatCode="0.0"/>
    <numFmt numFmtId="167" formatCode="_(* #,##0.00_);_(* \(#,##0.00\);_(* \-??_);_(@_)"/>
    <numFmt numFmtId="168" formatCode="_(* #,##0.0_);_(* \(#,##0.0\);_(* \-??_);_(@_)"/>
    <numFmt numFmtId="169" formatCode="_(* #,##0_);_(* \(#,##0\);_(* \-_);_(@_)"/>
    <numFmt numFmtId="170" formatCode="0.00.00\]"/>
    <numFmt numFmtId="171" formatCode="0.00.00.00\]"/>
    <numFmt numFmtId="172" formatCode="0.0000"/>
    <numFmt numFmtId="173" formatCode="dd\-mm\-yy"/>
    <numFmt numFmtId="174" formatCode="0.000_)"/>
    <numFmt numFmtId="175" formatCode="_-&quot;$&quot;* #,##0_-;\-&quot;$&quot;* #,##0_-;_-&quot;$&quot;* &quot;-&quot;_-;_-@_-"/>
    <numFmt numFmtId="176" formatCode="\5\ \-\ \6"/>
    <numFmt numFmtId="177" formatCode="[$€]#,##0.00_);[Red]\([$€]#,##0.00\)"/>
    <numFmt numFmtId="178" formatCode="0.00_)"/>
    <numFmt numFmtId="179" formatCode="0_)"/>
    <numFmt numFmtId="180" formatCode="_(* #,##0.0_);_(* \(#,##0.0\);_(* &quot;-&quot;??_);_(@_)"/>
  </numFmts>
  <fonts count="72">
    <font>
      <sz val="11"/>
      <color theme="1"/>
      <name val="Calibri"/>
      <family val="2"/>
      <scheme val="minor"/>
    </font>
    <font>
      <sz val="10"/>
      <name val="Arial"/>
      <family val="2"/>
    </font>
    <font>
      <sz val="11"/>
      <color theme="1"/>
      <name val="Calibri"/>
      <family val="2"/>
      <scheme val="minor"/>
    </font>
    <font>
      <sz val="10"/>
      <name val="Geneva"/>
    </font>
    <font>
      <b/>
      <sz val="11"/>
      <name val="Tahoma"/>
      <family val="2"/>
    </font>
    <font>
      <sz val="11"/>
      <name val="Tahoma"/>
      <family val="2"/>
    </font>
    <font>
      <b/>
      <sz val="11"/>
      <color theme="1"/>
      <name val="Calibri"/>
      <family val="2"/>
    </font>
    <font>
      <b/>
      <sz val="11"/>
      <name val="Calibri"/>
      <family val="2"/>
    </font>
    <font>
      <sz val="11"/>
      <color theme="1"/>
      <name val="Calibri"/>
      <family val="2"/>
    </font>
    <font>
      <sz val="11"/>
      <name val="Calibri"/>
      <family val="2"/>
    </font>
    <font>
      <b/>
      <u/>
      <sz val="11"/>
      <name val="Calibri"/>
      <family val="2"/>
    </font>
    <font>
      <vertAlign val="superscript"/>
      <sz val="11"/>
      <color indexed="8"/>
      <name val="Calibri"/>
      <family val="2"/>
    </font>
    <font>
      <u/>
      <sz val="11"/>
      <name val="Calibri"/>
      <family val="2"/>
    </font>
    <font>
      <i/>
      <u/>
      <sz val="11"/>
      <name val="Calibri"/>
      <family val="2"/>
    </font>
    <font>
      <vertAlign val="superscript"/>
      <sz val="11"/>
      <name val="Calibri"/>
      <family val="2"/>
    </font>
    <font>
      <sz val="11"/>
      <color rgb="FFFF0000"/>
      <name val="Calibri"/>
      <family val="2"/>
    </font>
    <font>
      <i/>
      <sz val="11"/>
      <name val="Calibri"/>
      <family val="2"/>
    </font>
    <font>
      <sz val="12"/>
      <color theme="1"/>
      <name val="Calibri"/>
      <family val="2"/>
      <scheme val="minor"/>
    </font>
    <font>
      <b/>
      <sz val="11"/>
      <color rgb="FF0070C0"/>
      <name val="Calibri"/>
      <family val="2"/>
      <scheme val="minor"/>
    </font>
    <font>
      <sz val="11"/>
      <name val="Calibri"/>
      <family val="2"/>
      <scheme val="minor"/>
    </font>
    <font>
      <b/>
      <sz val="11"/>
      <name val="Calibri"/>
      <family val="2"/>
      <scheme val="minor"/>
    </font>
    <font>
      <sz val="11"/>
      <color indexed="8"/>
      <name val="Calibri"/>
      <family val="2"/>
    </font>
    <font>
      <sz val="11"/>
      <color indexed="8"/>
      <name val="Calibri"/>
      <family val="2"/>
      <scheme val="minor"/>
    </font>
    <font>
      <b/>
      <sz val="11"/>
      <color indexed="8"/>
      <name val="Calibri"/>
      <family val="2"/>
      <scheme val="minor"/>
    </font>
    <font>
      <b/>
      <sz val="11"/>
      <color theme="1"/>
      <name val="Calibri"/>
      <family val="2"/>
      <scheme val="minor"/>
    </font>
    <font>
      <b/>
      <u/>
      <sz val="11"/>
      <name val="Calibri"/>
      <family val="2"/>
      <scheme val="minor"/>
    </font>
    <font>
      <u/>
      <sz val="11"/>
      <name val="Calibri"/>
      <family val="2"/>
      <scheme val="minor"/>
    </font>
    <font>
      <sz val="12"/>
      <name val="Calibri"/>
      <family val="2"/>
    </font>
    <font>
      <sz val="12"/>
      <color theme="1"/>
      <name val="Calibri"/>
      <family val="2"/>
    </font>
    <font>
      <sz val="11"/>
      <color rgb="FF000000"/>
      <name val="Calibri"/>
      <family val="2"/>
      <scheme val="minor"/>
    </font>
    <font>
      <b/>
      <sz val="11"/>
      <color rgb="FF000000"/>
      <name val="Calibri"/>
      <family val="2"/>
      <scheme val="minor"/>
    </font>
    <font>
      <b/>
      <sz val="12"/>
      <color indexed="8"/>
      <name val="Calibri"/>
      <family val="2"/>
    </font>
    <font>
      <sz val="12"/>
      <color indexed="8"/>
      <name val="Calibri"/>
      <family val="2"/>
    </font>
    <font>
      <b/>
      <sz val="12"/>
      <color theme="1"/>
      <name val="Calibri"/>
      <family val="2"/>
    </font>
    <font>
      <b/>
      <sz val="12"/>
      <name val="Calibri"/>
      <family val="2"/>
    </font>
    <font>
      <b/>
      <u/>
      <sz val="12"/>
      <name val="Calibri"/>
      <family val="2"/>
    </font>
    <font>
      <sz val="11"/>
      <color rgb="FF9C0006"/>
      <name val="Calibri"/>
      <family val="2"/>
      <scheme val="minor"/>
    </font>
    <font>
      <sz val="11"/>
      <color rgb="FF9C6500"/>
      <name val="Calibri"/>
      <family val="2"/>
      <scheme val="minor"/>
    </font>
    <font>
      <sz val="11"/>
      <color theme="0"/>
      <name val="Calibri"/>
      <family val="2"/>
      <scheme val="minor"/>
    </font>
    <font>
      <sz val="11"/>
      <name val="Tms Rmn"/>
    </font>
    <font>
      <b/>
      <sz val="10"/>
      <name val="Times New Roman"/>
      <family val="1"/>
    </font>
    <font>
      <b/>
      <i/>
      <sz val="16"/>
      <name val="Helv"/>
    </font>
    <font>
      <sz val="12"/>
      <name val="Arial MT"/>
    </font>
    <font>
      <sz val="10"/>
      <color theme="1"/>
      <name val="Arial Unicode MS"/>
      <family val="2"/>
    </font>
    <font>
      <b/>
      <sz val="12"/>
      <color theme="1"/>
      <name val="Tahoma"/>
      <family val="2"/>
    </font>
    <font>
      <b/>
      <sz val="11"/>
      <color theme="1"/>
      <name val="Tahoma"/>
      <family val="2"/>
    </font>
    <font>
      <sz val="11"/>
      <color theme="1"/>
      <name val="Tahoma"/>
      <family val="2"/>
    </font>
    <font>
      <vertAlign val="superscript"/>
      <sz val="11"/>
      <color indexed="8"/>
      <name val="Calibri"/>
      <family val="2"/>
      <scheme val="minor"/>
    </font>
    <font>
      <b/>
      <u/>
      <sz val="12"/>
      <name val="Calibri"/>
      <family val="2"/>
      <scheme val="minor"/>
    </font>
    <font>
      <sz val="12"/>
      <name val="Calibri"/>
      <family val="2"/>
      <scheme val="minor"/>
    </font>
    <font>
      <b/>
      <u val="singleAccounting"/>
      <sz val="12"/>
      <name val="Calibri"/>
      <family val="2"/>
      <scheme val="minor"/>
    </font>
    <font>
      <b/>
      <u/>
      <sz val="12"/>
      <color indexed="8"/>
      <name val="Calibri"/>
      <family val="2"/>
    </font>
    <font>
      <b/>
      <sz val="11"/>
      <color indexed="8"/>
      <name val="Calibri"/>
      <family val="2"/>
    </font>
    <font>
      <b/>
      <u/>
      <sz val="11"/>
      <color theme="1"/>
      <name val="Calibri"/>
      <family val="2"/>
    </font>
    <font>
      <u/>
      <sz val="12"/>
      <name val="Calibri"/>
      <family val="2"/>
    </font>
    <font>
      <b/>
      <i/>
      <sz val="11"/>
      <name val="Calibri"/>
      <family val="2"/>
      <scheme val="minor"/>
    </font>
    <font>
      <i/>
      <sz val="11"/>
      <name val="Calibri"/>
      <family val="2"/>
      <scheme val="minor"/>
    </font>
    <font>
      <sz val="12"/>
      <name val="Tahoma"/>
      <family val="2"/>
    </font>
    <font>
      <b/>
      <sz val="11"/>
      <color indexed="62"/>
      <name val="Calibri"/>
      <family val="2"/>
    </font>
    <font>
      <b/>
      <sz val="10"/>
      <name val="Arial"/>
      <family val="2"/>
    </font>
    <font>
      <vertAlign val="superscript"/>
      <sz val="11"/>
      <name val="Calibri"/>
      <family val="2"/>
      <scheme val="minor"/>
    </font>
    <font>
      <vertAlign val="superscript"/>
      <sz val="11"/>
      <color theme="1"/>
      <name val="Calibri"/>
      <family val="2"/>
      <scheme val="minor"/>
    </font>
    <font>
      <sz val="10"/>
      <color theme="1"/>
      <name val="Arial"/>
      <family val="2"/>
    </font>
    <font>
      <b/>
      <u/>
      <sz val="12"/>
      <name val="Tahoma"/>
      <family val="2"/>
    </font>
    <font>
      <u/>
      <sz val="11"/>
      <color theme="1"/>
      <name val="Calibri"/>
      <family val="2"/>
      <scheme val="minor"/>
    </font>
    <font>
      <b/>
      <u/>
      <sz val="11"/>
      <color theme="1"/>
      <name val="Calibri"/>
      <family val="2"/>
      <scheme val="minor"/>
    </font>
    <font>
      <b/>
      <sz val="12"/>
      <name val="Tahoma"/>
      <family val="2"/>
    </font>
    <font>
      <u/>
      <sz val="11"/>
      <color theme="1"/>
      <name val="Calibri"/>
      <family val="2"/>
    </font>
    <font>
      <sz val="11"/>
      <color rgb="FF0070C0"/>
      <name val="Calibri"/>
      <family val="2"/>
      <scheme val="minor"/>
    </font>
    <font>
      <b/>
      <sz val="11"/>
      <color rgb="FFFF0000"/>
      <name val="Calibri"/>
      <family val="2"/>
      <scheme val="minor"/>
    </font>
    <font>
      <b/>
      <sz val="12"/>
      <name val="Calibri"/>
      <family val="2"/>
      <scheme val="minor"/>
    </font>
    <font>
      <sz val="11"/>
      <color rgb="FFFF0000"/>
      <name val="Calibri"/>
      <family val="2"/>
      <scheme val="minor"/>
    </font>
  </fonts>
  <fills count="12">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9" tint="0.599963377788628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left style="double">
        <color indexed="64"/>
      </left>
      <right style="thin">
        <color indexed="64"/>
      </right>
      <top/>
      <bottom/>
      <diagonal/>
    </border>
    <border>
      <left/>
      <right/>
      <top/>
      <bottom style="double">
        <color indexed="8"/>
      </bottom>
      <diagonal/>
    </border>
    <border>
      <left style="thin">
        <color indexed="64"/>
      </left>
      <right style="thin">
        <color indexed="64"/>
      </right>
      <top style="hair">
        <color indexed="64"/>
      </top>
      <bottom style="hair">
        <color indexed="64"/>
      </bottom>
      <diagonal/>
    </border>
    <border>
      <left/>
      <right style="hair">
        <color auto="1"/>
      </right>
      <top style="hair">
        <color auto="1"/>
      </top>
      <bottom style="hair">
        <color auto="1"/>
      </bottom>
      <diagonal/>
    </border>
    <border>
      <left style="medium">
        <color indexed="64"/>
      </left>
      <right/>
      <top/>
      <bottom/>
      <diagonal/>
    </border>
    <border>
      <left style="hair">
        <color auto="1"/>
      </left>
      <right style="hair">
        <color auto="1"/>
      </right>
      <top style="hair">
        <color auto="1"/>
      </top>
      <bottom style="hair">
        <color auto="1"/>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right/>
      <top style="hair">
        <color indexed="64"/>
      </top>
      <bottom style="hair">
        <color indexed="64"/>
      </bottom>
      <diagonal/>
    </border>
    <border>
      <left/>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indexed="8"/>
      </left>
      <right style="hair">
        <color indexed="8"/>
      </right>
      <top style="hair">
        <color indexed="8"/>
      </top>
      <bottom style="hair">
        <color indexed="8"/>
      </bottom>
      <diagonal/>
    </border>
    <border>
      <left/>
      <right style="thin">
        <color auto="1"/>
      </right>
      <top style="hair">
        <color auto="1"/>
      </top>
      <bottom style="hair">
        <color auto="1"/>
      </bottom>
      <diagonal/>
    </border>
    <border>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hair">
        <color indexed="64"/>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s>
  <cellStyleXfs count="94">
    <xf numFmtId="0" fontId="0" fillId="0" borderId="0"/>
    <xf numFmtId="164" fontId="1" fillId="0" borderId="0" applyFont="0" applyFill="0" applyBorder="0" applyAlignment="0" applyProtection="0"/>
    <xf numFmtId="164" fontId="1"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applyBorder="0"/>
    <xf numFmtId="0" fontId="3"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4" fontId="1" fillId="0" borderId="0" applyFont="0" applyFill="0" applyBorder="0" applyAlignment="0" applyProtection="0"/>
    <xf numFmtId="0" fontId="1" fillId="0" borderId="5" applyNumberFormat="0" applyFont="0" applyBorder="0" applyAlignment="0">
      <alignment horizontal="center" vertical="top"/>
    </xf>
    <xf numFmtId="0" fontId="2" fillId="0" borderId="0"/>
    <xf numFmtId="43" fontId="1" fillId="0" borderId="0" applyFont="0" applyFill="0" applyBorder="0" applyAlignment="0" applyProtection="0"/>
    <xf numFmtId="0" fontId="1" fillId="0" borderId="0"/>
    <xf numFmtId="43" fontId="2"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0" fontId="1" fillId="0" borderId="5" applyNumberFormat="0" applyFont="0" applyBorder="0" applyAlignment="0">
      <alignment horizontal="center" vertical="top"/>
    </xf>
    <xf numFmtId="0" fontId="1" fillId="0" borderId="5" applyNumberFormat="0" applyFont="0" applyBorder="0" applyAlignment="0">
      <alignment horizontal="center" vertical="top"/>
    </xf>
    <xf numFmtId="0" fontId="17" fillId="0" borderId="0"/>
    <xf numFmtId="44" fontId="2" fillId="0" borderId="0" applyFont="0" applyFill="0" applyBorder="0" applyAlignment="0" applyProtection="0"/>
    <xf numFmtId="43" fontId="17" fillId="0" borderId="0" applyFont="0" applyFill="0" applyBorder="0" applyAlignment="0" applyProtection="0"/>
    <xf numFmtId="0" fontId="2" fillId="0" borderId="0"/>
    <xf numFmtId="173" fontId="1" fillId="0" borderId="0" applyProtection="0">
      <protection locked="0"/>
    </xf>
    <xf numFmtId="0" fontId="38" fillId="11" borderId="0" applyNumberFormat="0" applyFont="0" applyBorder="0" applyAlignment="0" applyProtection="0"/>
    <xf numFmtId="0" fontId="36" fillId="9" borderId="0" applyNumberFormat="0" applyFont="0" applyBorder="0" applyAlignment="0" applyProtection="0"/>
    <xf numFmtId="174" fontId="39" fillId="0" borderId="0"/>
    <xf numFmtId="174" fontId="39" fillId="0" borderId="0"/>
    <xf numFmtId="174" fontId="39" fillId="0" borderId="0"/>
    <xf numFmtId="174" fontId="39" fillId="0" borderId="0"/>
    <xf numFmtId="174" fontId="39" fillId="0" borderId="0"/>
    <xf numFmtId="174" fontId="39" fillId="0" borderId="0"/>
    <xf numFmtId="174" fontId="39" fillId="0" borderId="0"/>
    <xf numFmtId="174" fontId="39" fillId="0" borderId="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175" fontId="40" fillId="0" borderId="11" applyBorder="0"/>
    <xf numFmtId="44" fontId="2" fillId="0" borderId="0" applyFont="0" applyFill="0" applyBorder="0" applyAlignment="0" applyProtection="0"/>
    <xf numFmtId="176" fontId="1" fillId="0" borderId="0">
      <protection locked="0"/>
    </xf>
    <xf numFmtId="177" fontId="1" fillId="0" borderId="0" applyFont="0" applyFill="0" applyBorder="0" applyAlignment="0" applyProtection="0"/>
    <xf numFmtId="0" fontId="37" fillId="10" borderId="0" applyNumberFormat="0" applyFont="0" applyBorder="0" applyAlignment="0" applyProtection="0"/>
    <xf numFmtId="178" fontId="41" fillId="0" borderId="0"/>
    <xf numFmtId="0" fontId="1" fillId="0" borderId="0"/>
    <xf numFmtId="0" fontId="1" fillId="0" borderId="0"/>
    <xf numFmtId="0" fontId="42" fillId="0" borderId="0">
      <alignment wrapText="1"/>
    </xf>
    <xf numFmtId="0" fontId="1" fillId="0" borderId="0"/>
    <xf numFmtId="179" fontId="42" fillId="0" borderId="0">
      <alignment wrapText="1"/>
    </xf>
    <xf numFmtId="179" fontId="42" fillId="0" borderId="0">
      <alignment wrapText="1"/>
    </xf>
    <xf numFmtId="179" fontId="42" fillId="0" borderId="0">
      <alignment wrapText="1"/>
    </xf>
    <xf numFmtId="0" fontId="2" fillId="0" borderId="0"/>
    <xf numFmtId="0" fontId="42" fillId="0" borderId="0"/>
    <xf numFmtId="49" fontId="1" fillId="0" borderId="0"/>
    <xf numFmtId="0" fontId="43" fillId="0" borderId="0"/>
    <xf numFmtId="0" fontId="43" fillId="0" borderId="0"/>
    <xf numFmtId="0" fontId="43" fillId="0" borderId="0"/>
    <xf numFmtId="0" fontId="43" fillId="0" borderId="0"/>
    <xf numFmtId="9" fontId="1"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2"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cellStyleXfs>
  <cellXfs count="1262">
    <xf numFmtId="0" fontId="0" fillId="0" borderId="0" xfId="0"/>
    <xf numFmtId="0" fontId="4" fillId="0" borderId="7" xfId="9" applyFont="1" applyBorder="1" applyAlignment="1">
      <alignment horizontal="center"/>
    </xf>
    <xf numFmtId="0" fontId="5" fillId="0" borderId="0" xfId="9" applyFont="1"/>
    <xf numFmtId="0" fontId="4" fillId="0" borderId="3" xfId="9" applyFont="1" applyBorder="1" applyAlignment="1">
      <alignment horizontal="center"/>
    </xf>
    <xf numFmtId="0" fontId="5" fillId="0" borderId="0" xfId="9" applyFont="1" applyAlignment="1">
      <alignment horizontal="left" indent="1"/>
    </xf>
    <xf numFmtId="0" fontId="4" fillId="0" borderId="2" xfId="9" applyFont="1" applyBorder="1" applyAlignment="1">
      <alignment horizontal="center"/>
    </xf>
    <xf numFmtId="0" fontId="4" fillId="0" borderId="0" xfId="9" applyFont="1"/>
    <xf numFmtId="0" fontId="4" fillId="0" borderId="0" xfId="9" applyFont="1" applyAlignment="1">
      <alignment horizontal="center"/>
    </xf>
    <xf numFmtId="0" fontId="6" fillId="2" borderId="1" xfId="0" applyFont="1" applyFill="1" applyBorder="1" applyAlignment="1">
      <alignment horizontal="center" vertical="center"/>
    </xf>
    <xf numFmtId="3" fontId="7" fillId="2" borderId="1" xfId="12" applyNumberFormat="1" applyFont="1" applyFill="1" applyBorder="1" applyAlignment="1">
      <alignment horizontal="center" vertical="center" wrapText="1"/>
    </xf>
    <xf numFmtId="43" fontId="7" fillId="2" borderId="1" xfId="22" applyFont="1" applyFill="1" applyBorder="1" applyAlignment="1">
      <alignment horizontal="center" vertical="center" wrapText="1"/>
    </xf>
    <xf numFmtId="0" fontId="8" fillId="0" borderId="0" xfId="0" applyFont="1" applyFill="1" applyBorder="1" applyAlignment="1"/>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xf numFmtId="3" fontId="9" fillId="0" borderId="1" xfId="12" applyNumberFormat="1" applyFont="1" applyFill="1" applyBorder="1" applyAlignment="1">
      <alignment horizontal="center" vertical="center"/>
    </xf>
    <xf numFmtId="43" fontId="8" fillId="0" borderId="1" xfId="22" applyFont="1" applyFill="1" applyBorder="1" applyAlignment="1"/>
    <xf numFmtId="0" fontId="10" fillId="0" borderId="1" xfId="0" applyFont="1" applyFill="1" applyBorder="1" applyAlignment="1">
      <alignment horizontal="center" vertical="center"/>
    </xf>
    <xf numFmtId="0" fontId="9" fillId="0" borderId="1" xfId="0" applyFont="1" applyFill="1" applyBorder="1" applyAlignment="1"/>
    <xf numFmtId="0" fontId="9" fillId="0" borderId="3" xfId="0" applyFont="1" applyFill="1" applyBorder="1" applyAlignment="1">
      <alignment horizontal="center"/>
    </xf>
    <xf numFmtId="4" fontId="9" fillId="0" borderId="1" xfId="0" applyNumberFormat="1" applyFont="1" applyFill="1" applyBorder="1" applyAlignment="1">
      <alignment horizontal="center"/>
    </xf>
    <xf numFmtId="0" fontId="9" fillId="0" borderId="2" xfId="0" applyFont="1" applyFill="1" applyBorder="1" applyAlignment="1">
      <alignment horizontal="center"/>
    </xf>
    <xf numFmtId="3" fontId="9" fillId="0" borderId="1" xfId="0" applyNumberFormat="1" applyFont="1" applyFill="1" applyBorder="1" applyAlignment="1">
      <alignment horizontal="center"/>
    </xf>
    <xf numFmtId="4" fontId="8" fillId="0" borderId="1" xfId="0" applyNumberFormat="1" applyFont="1" applyFill="1" applyBorder="1" applyAlignment="1"/>
    <xf numFmtId="4" fontId="7" fillId="0" borderId="1" xfId="0" applyNumberFormat="1" applyFont="1" applyFill="1" applyBorder="1" applyAlignment="1">
      <alignment horizontal="center"/>
    </xf>
    <xf numFmtId="43" fontId="7" fillId="0" borderId="1" xfId="4" applyNumberFormat="1" applyFont="1" applyFill="1" applyBorder="1" applyAlignment="1"/>
    <xf numFmtId="0" fontId="8" fillId="4" borderId="1" xfId="0" applyFont="1" applyFill="1" applyBorder="1" applyAlignment="1"/>
    <xf numFmtId="0" fontId="9" fillId="0" borderId="0" xfId="0" applyFont="1" applyFill="1" applyBorder="1" applyAlignment="1"/>
    <xf numFmtId="43" fontId="8" fillId="0" borderId="0" xfId="22" applyFont="1" applyFill="1" applyBorder="1" applyAlignment="1"/>
    <xf numFmtId="4" fontId="9" fillId="4" borderId="1" xfId="0" applyNumberFormat="1" applyFont="1" applyFill="1" applyBorder="1" applyAlignment="1">
      <alignment horizontal="center"/>
    </xf>
    <xf numFmtId="0" fontId="9" fillId="0" borderId="4" xfId="0" applyFont="1" applyFill="1" applyBorder="1" applyAlignment="1">
      <alignment horizontal="center"/>
    </xf>
    <xf numFmtId="4" fontId="8" fillId="4" borderId="1" xfId="0" applyNumberFormat="1" applyFont="1" applyFill="1" applyBorder="1" applyAlignment="1"/>
    <xf numFmtId="43" fontId="8" fillId="4" borderId="1" xfId="22" applyFont="1" applyFill="1" applyBorder="1" applyAlignment="1"/>
    <xf numFmtId="4" fontId="9" fillId="5" borderId="1" xfId="0" applyNumberFormat="1" applyFont="1" applyFill="1" applyBorder="1" applyAlignment="1">
      <alignment horizontal="center"/>
    </xf>
    <xf numFmtId="0" fontId="9" fillId="0" borderId="1" xfId="0" applyFont="1" applyFill="1" applyBorder="1" applyAlignment="1">
      <alignment horizontal="center"/>
    </xf>
    <xf numFmtId="4" fontId="10" fillId="0" borderId="1" xfId="0" applyNumberFormat="1" applyFont="1" applyFill="1" applyBorder="1" applyAlignment="1">
      <alignment horizontal="center"/>
    </xf>
    <xf numFmtId="0" fontId="8" fillId="0" borderId="8" xfId="0" applyFont="1" applyBorder="1" applyAlignment="1">
      <alignment wrapText="1"/>
    </xf>
    <xf numFmtId="0" fontId="6" fillId="0" borderId="8" xfId="0" applyFont="1" applyBorder="1" applyAlignment="1">
      <alignment wrapText="1"/>
    </xf>
    <xf numFmtId="9" fontId="8" fillId="0" borderId="0" xfId="3" applyFont="1"/>
    <xf numFmtId="0" fontId="8" fillId="0" borderId="0" xfId="0" applyFont="1"/>
    <xf numFmtId="0" fontId="8" fillId="7" borderId="8" xfId="0" applyFont="1" applyFill="1" applyBorder="1" applyAlignment="1">
      <alignment wrapText="1"/>
    </xf>
    <xf numFmtId="4" fontId="12" fillId="0" borderId="1" xfId="0" applyNumberFormat="1" applyFont="1" applyFill="1" applyBorder="1" applyAlignment="1">
      <alignment horizontal="center"/>
    </xf>
    <xf numFmtId="0" fontId="15" fillId="0" borderId="2" xfId="0" applyFont="1" applyFill="1" applyBorder="1" applyAlignment="1">
      <alignment horizontal="center"/>
    </xf>
    <xf numFmtId="165" fontId="9" fillId="0" borderId="1" xfId="0" applyNumberFormat="1" applyFont="1" applyFill="1" applyBorder="1" applyAlignment="1">
      <alignment horizontal="center"/>
    </xf>
    <xf numFmtId="0" fontId="15" fillId="0" borderId="0" xfId="0" applyFont="1" applyFill="1" applyBorder="1" applyAlignment="1"/>
    <xf numFmtId="0" fontId="15" fillId="0" borderId="1" xfId="0" applyFont="1" applyFill="1" applyBorder="1" applyAlignment="1"/>
    <xf numFmtId="0" fontId="8" fillId="7" borderId="0" xfId="0" applyFont="1" applyFill="1" applyBorder="1" applyAlignment="1">
      <alignment wrapText="1"/>
    </xf>
    <xf numFmtId="0" fontId="6" fillId="7" borderId="0" xfId="0" applyFont="1" applyFill="1" applyBorder="1" applyAlignment="1">
      <alignment wrapText="1"/>
    </xf>
    <xf numFmtId="43" fontId="6" fillId="7" borderId="0" xfId="0" applyNumberFormat="1" applyFont="1" applyFill="1" applyBorder="1" applyAlignment="1">
      <alignment wrapText="1"/>
    </xf>
    <xf numFmtId="0" fontId="6" fillId="0" borderId="0" xfId="0" applyFont="1"/>
    <xf numFmtId="0" fontId="9" fillId="0" borderId="6" xfId="0" applyFont="1" applyFill="1" applyBorder="1" applyAlignment="1">
      <alignment horizontal="center"/>
    </xf>
    <xf numFmtId="3" fontId="10" fillId="0" borderId="1" xfId="0" applyNumberFormat="1" applyFont="1" applyFill="1" applyBorder="1" applyAlignment="1">
      <alignment horizontal="center"/>
    </xf>
    <xf numFmtId="43" fontId="9" fillId="0" borderId="1" xfId="0" applyNumberFormat="1" applyFont="1" applyFill="1" applyBorder="1" applyAlignment="1"/>
    <xf numFmtId="43" fontId="9" fillId="0" borderId="1" xfId="4" applyNumberFormat="1" applyFont="1" applyFill="1" applyBorder="1" applyAlignment="1"/>
    <xf numFmtId="43" fontId="8" fillId="0" borderId="1" xfId="0" applyNumberFormat="1" applyFont="1" applyFill="1" applyBorder="1" applyAlignment="1"/>
    <xf numFmtId="0" fontId="7" fillId="0" borderId="2" xfId="0" applyFont="1" applyFill="1" applyBorder="1" applyAlignment="1">
      <alignment horizontal="center"/>
    </xf>
    <xf numFmtId="0" fontId="6" fillId="0" borderId="1" xfId="0" applyFont="1" applyFill="1" applyBorder="1" applyAlignment="1"/>
    <xf numFmtId="43" fontId="6" fillId="0" borderId="1" xfId="22" applyFont="1" applyFill="1" applyBorder="1" applyAlignment="1"/>
    <xf numFmtId="0" fontId="6" fillId="0" borderId="0" xfId="0" applyFont="1" applyFill="1" applyBorder="1" applyAlignment="1"/>
    <xf numFmtId="43" fontId="7" fillId="0" borderId="1" xfId="22" applyFont="1" applyFill="1" applyBorder="1" applyAlignment="1"/>
    <xf numFmtId="43" fontId="9" fillId="0" borderId="1" xfId="22" applyFont="1" applyFill="1" applyBorder="1" applyAlignment="1"/>
    <xf numFmtId="0" fontId="9" fillId="0" borderId="2" xfId="0" applyFont="1" applyFill="1" applyBorder="1" applyAlignment="1">
      <alignment horizontal="center" vertical="center"/>
    </xf>
    <xf numFmtId="4" fontId="7" fillId="0" borderId="1" xfId="0" applyNumberFormat="1" applyFont="1" applyFill="1" applyBorder="1" applyAlignment="1">
      <alignment horizontal="center" vertical="center"/>
    </xf>
    <xf numFmtId="43" fontId="7" fillId="0" borderId="1" xfId="4" applyNumberFormat="1" applyFont="1" applyFill="1" applyBorder="1" applyAlignment="1">
      <alignment vertical="center"/>
    </xf>
    <xf numFmtId="43" fontId="7" fillId="0" borderId="1" xfId="22" applyFont="1" applyFill="1" applyBorder="1" applyAlignment="1">
      <alignment vertical="center"/>
    </xf>
    <xf numFmtId="43" fontId="8" fillId="0" borderId="0" xfId="0" applyNumberFormat="1" applyFont="1" applyFill="1" applyBorder="1" applyAlignment="1"/>
    <xf numFmtId="4" fontId="9" fillId="0" borderId="2" xfId="0" applyNumberFormat="1" applyFont="1" applyFill="1" applyBorder="1" applyAlignment="1">
      <alignment horizontal="center"/>
    </xf>
    <xf numFmtId="0" fontId="7" fillId="0" borderId="0" xfId="0" applyFont="1" applyFill="1" applyBorder="1" applyAlignment="1">
      <alignment horizontal="left" wrapText="1"/>
    </xf>
    <xf numFmtId="4" fontId="7" fillId="0" borderId="2" xfId="0" applyNumberFormat="1" applyFont="1" applyFill="1" applyBorder="1" applyAlignment="1">
      <alignment horizontal="center"/>
    </xf>
    <xf numFmtId="43" fontId="7" fillId="0" borderId="2" xfId="4" applyNumberFormat="1" applyFont="1" applyFill="1" applyBorder="1" applyAlignment="1"/>
    <xf numFmtId="0" fontId="12" fillId="0" borderId="0" xfId="0" applyFont="1" applyFill="1" applyBorder="1" applyAlignment="1">
      <alignment horizontal="left" wrapText="1"/>
    </xf>
    <xf numFmtId="0" fontId="8" fillId="0" borderId="0" xfId="0" applyFont="1" applyFill="1" applyBorder="1" applyAlignment="1">
      <alignment wrapText="1"/>
    </xf>
    <xf numFmtId="0" fontId="6" fillId="2" borderId="1" xfId="0" applyFont="1" applyFill="1" applyBorder="1" applyAlignment="1">
      <alignment horizontal="center" vertical="center" wrapText="1"/>
    </xf>
    <xf numFmtId="0" fontId="8" fillId="0" borderId="1" xfId="0" applyFont="1" applyFill="1" applyBorder="1" applyAlignment="1">
      <alignment horizontal="center" wrapText="1"/>
    </xf>
    <xf numFmtId="0" fontId="10" fillId="0" borderId="1" xfId="0" applyFont="1" applyFill="1" applyBorder="1" applyAlignment="1">
      <alignment horizontal="left" wrapText="1"/>
    </xf>
    <xf numFmtId="0" fontId="10" fillId="0" borderId="1" xfId="0" applyFont="1" applyFill="1" applyBorder="1" applyAlignment="1">
      <alignment horizontal="left" vertical="center" wrapText="1"/>
    </xf>
    <xf numFmtId="0" fontId="7" fillId="0" borderId="1" xfId="0" applyFont="1" applyFill="1" applyBorder="1" applyAlignment="1">
      <alignment horizontal="left" wrapText="1"/>
    </xf>
    <xf numFmtId="0" fontId="9" fillId="0" borderId="1" xfId="0" applyFont="1" applyFill="1" applyBorder="1" applyAlignment="1">
      <alignment horizontal="left" wrapText="1"/>
    </xf>
    <xf numFmtId="0" fontId="12" fillId="0" borderId="1" xfId="0" applyFont="1" applyFill="1" applyBorder="1" applyAlignment="1">
      <alignment horizontal="left" wrapText="1"/>
    </xf>
    <xf numFmtId="0" fontId="13" fillId="0" borderId="1" xfId="0" applyFont="1" applyFill="1" applyBorder="1" applyAlignment="1">
      <alignment horizontal="left" wrapText="1"/>
    </xf>
    <xf numFmtId="0" fontId="8" fillId="0" borderId="1" xfId="0" applyFont="1" applyFill="1" applyBorder="1" applyAlignment="1">
      <alignment wrapText="1"/>
    </xf>
    <xf numFmtId="0" fontId="12" fillId="0" borderId="1" xfId="5" applyFont="1" applyFill="1" applyBorder="1" applyAlignment="1">
      <alignment horizontal="left" wrapText="1"/>
    </xf>
    <xf numFmtId="0" fontId="9" fillId="0" borderId="1" xfId="0" applyNumberFormat="1" applyFont="1" applyFill="1" applyBorder="1" applyAlignment="1">
      <alignment horizontal="left" wrapText="1"/>
    </xf>
    <xf numFmtId="0" fontId="9" fillId="0" borderId="1" xfId="6" applyFont="1" applyFill="1" applyBorder="1" applyAlignment="1">
      <alignment horizontal="left" wrapText="1"/>
    </xf>
    <xf numFmtId="0" fontId="9" fillId="0" borderId="1" xfId="7" applyFont="1" applyFill="1" applyBorder="1" applyAlignment="1">
      <alignment horizontal="left" wrapText="1"/>
    </xf>
    <xf numFmtId="0" fontId="9" fillId="0" borderId="1" xfId="0" applyFont="1" applyFill="1" applyBorder="1" applyAlignment="1">
      <alignment horizontal="left" vertical="top" wrapText="1"/>
    </xf>
    <xf numFmtId="0" fontId="12" fillId="0" borderId="1" xfId="0" applyNumberFormat="1" applyFont="1" applyFill="1" applyBorder="1" applyAlignment="1">
      <alignment horizontal="left" wrapText="1"/>
    </xf>
    <xf numFmtId="0" fontId="9" fillId="0" borderId="1" xfId="0" applyFont="1" applyFill="1" applyBorder="1" applyAlignment="1">
      <alignment wrapText="1"/>
    </xf>
    <xf numFmtId="4" fontId="10" fillId="0" borderId="1" xfId="0" applyNumberFormat="1" applyFont="1" applyFill="1" applyBorder="1" applyAlignment="1">
      <alignment horizontal="left" wrapText="1"/>
    </xf>
    <xf numFmtId="4" fontId="9" fillId="0" borderId="1" xfId="0" applyNumberFormat="1" applyFont="1" applyFill="1" applyBorder="1" applyAlignment="1">
      <alignment horizontal="left" wrapText="1"/>
    </xf>
    <xf numFmtId="3" fontId="9" fillId="0" borderId="1" xfId="0" applyNumberFormat="1" applyFont="1" applyFill="1" applyBorder="1" applyAlignment="1">
      <alignment horizontal="left" wrapText="1"/>
    </xf>
    <xf numFmtId="3" fontId="12" fillId="0" borderId="1" xfId="0" applyNumberFormat="1" applyFont="1" applyFill="1" applyBorder="1" applyAlignment="1">
      <alignment horizontal="left" wrapText="1"/>
    </xf>
    <xf numFmtId="0" fontId="10" fillId="0" borderId="1" xfId="0" applyFont="1" applyFill="1" applyBorder="1" applyAlignment="1">
      <alignment horizontal="center" wrapText="1"/>
    </xf>
    <xf numFmtId="0" fontId="9" fillId="0" borderId="1" xfId="0" applyFont="1" applyFill="1" applyBorder="1" applyAlignment="1">
      <alignment horizontal="center" wrapText="1"/>
    </xf>
    <xf numFmtId="0" fontId="10" fillId="0" borderId="1" xfId="10" applyFont="1" applyFill="1" applyBorder="1" applyAlignment="1">
      <alignment horizontal="left" wrapText="1"/>
    </xf>
    <xf numFmtId="0" fontId="10" fillId="0" borderId="1" xfId="10" applyFont="1" applyFill="1" applyBorder="1" applyAlignment="1">
      <alignment horizontal="left" vertical="center" wrapText="1"/>
    </xf>
    <xf numFmtId="0" fontId="16" fillId="0" borderId="1" xfId="0" applyFont="1" applyFill="1" applyBorder="1" applyAlignment="1">
      <alignment horizontal="left" wrapText="1"/>
    </xf>
    <xf numFmtId="2" fontId="8" fillId="0" borderId="8" xfId="0" applyNumberFormat="1" applyFont="1" applyBorder="1" applyAlignment="1">
      <alignment wrapText="1"/>
    </xf>
    <xf numFmtId="166" fontId="8" fillId="0" borderId="8" xfId="0" applyNumberFormat="1" applyFont="1" applyBorder="1" applyAlignment="1">
      <alignment wrapText="1"/>
    </xf>
    <xf numFmtId="166" fontId="8" fillId="7" borderId="8" xfId="0" applyNumberFormat="1" applyFont="1" applyFill="1" applyBorder="1" applyAlignment="1">
      <alignment wrapText="1"/>
    </xf>
    <xf numFmtId="166" fontId="8" fillId="0" borderId="1" xfId="22" applyNumberFormat="1" applyFont="1" applyFill="1" applyBorder="1" applyAlignment="1"/>
    <xf numFmtId="0" fontId="19" fillId="0" borderId="0" xfId="0" applyFont="1"/>
    <xf numFmtId="0" fontId="20" fillId="0" borderId="0" xfId="0" applyFont="1"/>
    <xf numFmtId="0" fontId="8" fillId="0" borderId="9" xfId="0" applyFont="1" applyFill="1" applyBorder="1" applyAlignment="1"/>
    <xf numFmtId="0" fontId="0" fillId="0" borderId="0" xfId="0" applyFont="1" applyAlignment="1">
      <alignment horizontal="center" vertical="center"/>
    </xf>
    <xf numFmtId="0" fontId="20" fillId="0" borderId="0" xfId="0" applyFont="1" applyFill="1" applyBorder="1" applyAlignment="1">
      <alignment horizontal="center" vertical="center" wrapText="1"/>
    </xf>
    <xf numFmtId="4" fontId="19" fillId="0" borderId="0" xfId="0" applyNumberFormat="1" applyFont="1" applyFill="1" applyBorder="1" applyAlignment="1"/>
    <xf numFmtId="0" fontId="19" fillId="0" borderId="0" xfId="0" applyFont="1" applyFill="1" applyBorder="1" applyAlignment="1"/>
    <xf numFmtId="0" fontId="22" fillId="0" borderId="0" xfId="24" applyFont="1" applyAlignment="1">
      <alignment horizontal="center" vertical="center"/>
    </xf>
    <xf numFmtId="0" fontId="23" fillId="0" borderId="0" xfId="24" applyFont="1" applyAlignment="1">
      <alignment horizontal="center" vertical="center"/>
    </xf>
    <xf numFmtId="0" fontId="19" fillId="0" borderId="0" xfId="0" applyFont="1" applyFill="1" applyBorder="1" applyAlignment="1">
      <alignment horizontal="center"/>
    </xf>
    <xf numFmtId="0" fontId="19" fillId="0" borderId="0" xfId="0" applyFont="1" applyFill="1" applyBorder="1" applyAlignment="1">
      <alignment horizontal="left" wrapText="1"/>
    </xf>
    <xf numFmtId="0" fontId="20" fillId="2" borderId="9" xfId="0" applyFont="1" applyFill="1" applyBorder="1" applyAlignment="1">
      <alignment horizontal="center" vertical="center" wrapText="1"/>
    </xf>
    <xf numFmtId="3" fontId="20" fillId="2" borderId="9" xfId="0" applyNumberFormat="1" applyFont="1" applyFill="1" applyBorder="1" applyAlignment="1">
      <alignment horizontal="center" vertical="center" wrapText="1"/>
    </xf>
    <xf numFmtId="43" fontId="20" fillId="2" borderId="9" xfId="4" applyFont="1" applyFill="1" applyBorder="1" applyAlignment="1">
      <alignment horizontal="center" vertical="center" wrapText="1"/>
    </xf>
    <xf numFmtId="43" fontId="19" fillId="0" borderId="0" xfId="4" applyFont="1" applyFill="1" applyBorder="1" applyAlignment="1">
      <alignment horizontal="right" vertical="center"/>
    </xf>
    <xf numFmtId="166" fontId="20" fillId="2" borderId="9" xfId="0" applyNumberFormat="1" applyFont="1" applyFill="1" applyBorder="1" applyAlignment="1">
      <alignment horizontal="center" vertical="center" wrapText="1"/>
    </xf>
    <xf numFmtId="0" fontId="5" fillId="0" borderId="0" xfId="9" applyFont="1" applyAlignment="1">
      <alignment horizontal="left" wrapText="1"/>
    </xf>
    <xf numFmtId="2" fontId="4" fillId="0" borderId="2" xfId="9" applyNumberFormat="1" applyFont="1" applyBorder="1" applyAlignment="1">
      <alignment horizontal="center"/>
    </xf>
    <xf numFmtId="0" fontId="18" fillId="0" borderId="0" xfId="0" applyFont="1"/>
    <xf numFmtId="4" fontId="20" fillId="0" borderId="0" xfId="0" applyNumberFormat="1" applyFont="1" applyFill="1" applyBorder="1" applyAlignment="1"/>
    <xf numFmtId="0" fontId="20" fillId="0" borderId="0" xfId="0" applyFont="1" applyFill="1" applyBorder="1" applyAlignment="1"/>
    <xf numFmtId="0" fontId="4" fillId="0" borderId="3" xfId="9" applyFont="1" applyBorder="1" applyAlignment="1">
      <alignment horizontal="left" indent="1"/>
    </xf>
    <xf numFmtId="0" fontId="19" fillId="0" borderId="0" xfId="0" applyFont="1" applyFill="1"/>
    <xf numFmtId="0" fontId="19" fillId="0" borderId="0" xfId="0" applyFont="1" applyBorder="1" applyAlignment="1">
      <alignment horizontal="left" wrapText="1"/>
    </xf>
    <xf numFmtId="0" fontId="19" fillId="0" borderId="0" xfId="9" applyFont="1" applyBorder="1" applyAlignment="1">
      <alignment horizontal="left"/>
    </xf>
    <xf numFmtId="0" fontId="19" fillId="0" borderId="0" xfId="9" applyFont="1"/>
    <xf numFmtId="0" fontId="19" fillId="0" borderId="0" xfId="0" applyFont="1" applyBorder="1"/>
    <xf numFmtId="0" fontId="19" fillId="0" borderId="0" xfId="0" applyFont="1" applyBorder="1" applyAlignment="1">
      <alignment horizontal="center"/>
    </xf>
    <xf numFmtId="0" fontId="8" fillId="6" borderId="9" xfId="0" applyFont="1" applyFill="1" applyBorder="1" applyAlignment="1"/>
    <xf numFmtId="0" fontId="10" fillId="6" borderId="1" xfId="0" applyFont="1" applyFill="1" applyBorder="1" applyAlignment="1">
      <alignment horizontal="left" wrapText="1"/>
    </xf>
    <xf numFmtId="0" fontId="8" fillId="6" borderId="0" xfId="0" applyFont="1" applyFill="1" applyBorder="1" applyAlignment="1"/>
    <xf numFmtId="0" fontId="6" fillId="6" borderId="0" xfId="0" applyFont="1" applyFill="1" applyBorder="1" applyAlignment="1"/>
    <xf numFmtId="0" fontId="8" fillId="6" borderId="9" xfId="0" applyFont="1" applyFill="1" applyBorder="1" applyAlignment="1">
      <alignment horizontal="center" vertical="center"/>
    </xf>
    <xf numFmtId="3" fontId="8" fillId="6" borderId="9" xfId="0" applyNumberFormat="1" applyFont="1" applyFill="1" applyBorder="1" applyAlignment="1"/>
    <xf numFmtId="0" fontId="8" fillId="6" borderId="9" xfId="0" applyFont="1" applyFill="1" applyBorder="1" applyAlignment="1">
      <alignment wrapText="1"/>
    </xf>
    <xf numFmtId="165" fontId="9" fillId="6" borderId="9" xfId="0" applyNumberFormat="1" applyFont="1" applyFill="1" applyBorder="1" applyAlignment="1"/>
    <xf numFmtId="0" fontId="0" fillId="0" borderId="0" xfId="0"/>
    <xf numFmtId="0" fontId="0" fillId="0" borderId="0" xfId="0" applyAlignment="1">
      <alignment wrapText="1"/>
    </xf>
    <xf numFmtId="0" fontId="20" fillId="3" borderId="9" xfId="0" applyFont="1" applyFill="1" applyBorder="1" applyAlignment="1">
      <alignment horizontal="center" vertical="center" wrapText="1"/>
    </xf>
    <xf numFmtId="0" fontId="19" fillId="0" borderId="9" xfId="0" applyFont="1" applyBorder="1" applyAlignment="1">
      <alignment horizontal="center"/>
    </xf>
    <xf numFmtId="0" fontId="25" fillId="0" borderId="9" xfId="0" applyFont="1" applyBorder="1" applyAlignment="1">
      <alignment horizontal="left" wrapText="1"/>
    </xf>
    <xf numFmtId="0" fontId="20" fillId="0" borderId="9" xfId="9" applyFont="1" applyBorder="1" applyAlignment="1">
      <alignment horizontal="left" indent="1"/>
    </xf>
    <xf numFmtId="0" fontId="19" fillId="0" borderId="9" xfId="9" applyFont="1" applyBorder="1" applyAlignment="1">
      <alignment horizontal="left" wrapText="1"/>
    </xf>
    <xf numFmtId="0" fontId="19" fillId="0" borderId="9" xfId="9" applyFont="1" applyBorder="1" applyAlignment="1">
      <alignment wrapText="1"/>
    </xf>
    <xf numFmtId="0" fontId="19" fillId="0" borderId="9" xfId="0" applyFont="1" applyBorder="1" applyAlignment="1">
      <alignment horizontal="left" wrapText="1"/>
    </xf>
    <xf numFmtId="0" fontId="20" fillId="0" borderId="9" xfId="0" applyFont="1" applyBorder="1" applyAlignment="1">
      <alignment horizontal="left" wrapText="1"/>
    </xf>
    <xf numFmtId="0" fontId="19" fillId="0" borderId="9" xfId="0" applyFont="1" applyBorder="1"/>
    <xf numFmtId="0" fontId="27" fillId="0" borderId="0" xfId="0" applyFont="1" applyFill="1" applyAlignment="1"/>
    <xf numFmtId="0" fontId="19" fillId="8" borderId="0" xfId="0" applyFont="1" applyFill="1"/>
    <xf numFmtId="0" fontId="31" fillId="8" borderId="0" xfId="0" applyFont="1" applyFill="1" applyAlignment="1">
      <alignment vertical="top" wrapText="1"/>
    </xf>
    <xf numFmtId="0" fontId="32" fillId="8" borderId="0" xfId="0" applyNumberFormat="1" applyFont="1" applyFill="1" applyAlignment="1">
      <alignment vertical="top" wrapText="1"/>
    </xf>
    <xf numFmtId="0" fontId="32" fillId="8" borderId="0" xfId="0" applyFont="1" applyFill="1" applyAlignment="1">
      <alignment vertical="top" wrapText="1"/>
    </xf>
    <xf numFmtId="0" fontId="31" fillId="8" borderId="0" xfId="0" applyNumberFormat="1" applyFont="1" applyFill="1" applyAlignment="1">
      <alignment vertical="top" wrapText="1"/>
    </xf>
    <xf numFmtId="0" fontId="32" fillId="8" borderId="0" xfId="0" applyFont="1" applyFill="1" applyAlignment="1"/>
    <xf numFmtId="0" fontId="31" fillId="8" borderId="0" xfId="0" applyFont="1" applyFill="1" applyAlignment="1"/>
    <xf numFmtId="0" fontId="35" fillId="8" borderId="0" xfId="0" applyFont="1" applyFill="1" applyAlignment="1"/>
    <xf numFmtId="0" fontId="27" fillId="8" borderId="0" xfId="0" applyFont="1" applyFill="1" applyAlignment="1"/>
    <xf numFmtId="0" fontId="34" fillId="0" borderId="0" xfId="0" applyFont="1" applyFill="1" applyAlignment="1"/>
    <xf numFmtId="0" fontId="19" fillId="6" borderId="0" xfId="0" applyFont="1" applyFill="1"/>
    <xf numFmtId="0" fontId="25" fillId="6" borderId="1" xfId="0" applyFont="1" applyFill="1" applyBorder="1" applyAlignment="1">
      <alignment horizontal="left" wrapText="1"/>
    </xf>
    <xf numFmtId="4" fontId="19" fillId="6" borderId="1" xfId="0" applyNumberFormat="1" applyFont="1" applyFill="1" applyBorder="1" applyAlignment="1">
      <alignment horizontal="center"/>
    </xf>
    <xf numFmtId="165" fontId="19" fillId="6" borderId="1" xfId="0" applyNumberFormat="1" applyFont="1" applyFill="1" applyBorder="1" applyAlignment="1">
      <alignment horizontal="center"/>
    </xf>
    <xf numFmtId="0" fontId="0" fillId="6" borderId="0" xfId="0" applyFill="1"/>
    <xf numFmtId="0" fontId="32" fillId="6" borderId="0" xfId="0" applyNumberFormat="1" applyFont="1" applyFill="1" applyAlignment="1">
      <alignment vertical="top" wrapText="1"/>
    </xf>
    <xf numFmtId="0" fontId="31" fillId="6" borderId="0" xfId="0" applyNumberFormat="1" applyFont="1" applyFill="1" applyAlignment="1">
      <alignment vertical="top" wrapText="1"/>
    </xf>
    <xf numFmtId="0" fontId="32" fillId="6" borderId="0" xfId="0" applyFont="1" applyFill="1" applyAlignment="1"/>
    <xf numFmtId="0" fontId="31" fillId="6" borderId="0" xfId="0" applyFont="1" applyFill="1" applyAlignment="1"/>
    <xf numFmtId="0" fontId="35" fillId="6" borderId="0" xfId="0" applyFont="1" applyFill="1" applyAlignment="1"/>
    <xf numFmtId="0" fontId="27" fillId="6" borderId="0" xfId="0" applyFont="1" applyFill="1" applyAlignment="1"/>
    <xf numFmtId="0" fontId="34" fillId="6" borderId="0" xfId="0" applyFont="1" applyFill="1" applyAlignment="1"/>
    <xf numFmtId="0" fontId="20" fillId="6" borderId="0" xfId="0" applyFont="1" applyFill="1"/>
    <xf numFmtId="0" fontId="8" fillId="6" borderId="9" xfId="0" applyFont="1" applyFill="1" applyBorder="1" applyAlignment="1">
      <alignment horizontal="right" vertical="center"/>
    </xf>
    <xf numFmtId="43" fontId="8" fillId="6" borderId="9" xfId="22" applyFont="1" applyFill="1" applyBorder="1" applyAlignment="1"/>
    <xf numFmtId="43" fontId="5" fillId="0" borderId="10" xfId="4" applyFont="1" applyBorder="1"/>
    <xf numFmtId="0" fontId="20" fillId="6" borderId="12" xfId="0" applyFont="1" applyFill="1" applyBorder="1" applyAlignment="1">
      <alignment horizontal="right" vertical="center" wrapText="1"/>
    </xf>
    <xf numFmtId="0" fontId="25" fillId="6" borderId="12" xfId="0" applyFont="1" applyFill="1" applyBorder="1" applyAlignment="1">
      <alignment horizontal="left" wrapText="1"/>
    </xf>
    <xf numFmtId="0" fontId="20" fillId="6" borderId="0" xfId="0" applyFont="1" applyFill="1" applyBorder="1" applyAlignment="1"/>
    <xf numFmtId="0" fontId="25" fillId="6" borderId="12" xfId="0" applyFont="1" applyFill="1" applyBorder="1" applyAlignment="1">
      <alignment horizontal="center" vertical="center" wrapText="1"/>
    </xf>
    <xf numFmtId="3" fontId="20" fillId="6" borderId="12" xfId="0" applyNumberFormat="1" applyFont="1" applyFill="1" applyBorder="1" applyAlignment="1">
      <alignment horizontal="center" vertical="center" wrapText="1"/>
    </xf>
    <xf numFmtId="44" fontId="20" fillId="6" borderId="12" xfId="29" applyFont="1" applyFill="1" applyBorder="1" applyAlignment="1">
      <alignment vertical="center" wrapText="1"/>
    </xf>
    <xf numFmtId="165" fontId="20" fillId="6" borderId="12" xfId="0" applyNumberFormat="1" applyFont="1" applyFill="1" applyBorder="1" applyAlignment="1">
      <alignment vertical="center" wrapText="1"/>
    </xf>
    <xf numFmtId="4" fontId="19" fillId="0" borderId="0"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166" fontId="19" fillId="0" borderId="0" xfId="0" applyNumberFormat="1" applyFont="1" applyFill="1" applyBorder="1" applyAlignment="1">
      <alignment horizontal="center" vertical="center"/>
    </xf>
    <xf numFmtId="0" fontId="34" fillId="8" borderId="0" xfId="0" applyFont="1" applyFill="1" applyAlignment="1"/>
    <xf numFmtId="0" fontId="8" fillId="6" borderId="13" xfId="0" applyFont="1" applyFill="1" applyBorder="1" applyAlignment="1"/>
    <xf numFmtId="0" fontId="44" fillId="0" borderId="0" xfId="0" applyFont="1" applyAlignment="1">
      <alignment vertical="center" wrapText="1"/>
    </xf>
    <xf numFmtId="0" fontId="45" fillId="0" borderId="0" xfId="0" applyFont="1" applyAlignment="1">
      <alignment vertical="center" wrapText="1"/>
    </xf>
    <xf numFmtId="0" fontId="46" fillId="0" borderId="0" xfId="0" applyFont="1" applyAlignment="1">
      <alignment vertical="center" wrapText="1"/>
    </xf>
    <xf numFmtId="0" fontId="46" fillId="0" borderId="14" xfId="0" applyFont="1" applyBorder="1" applyAlignment="1">
      <alignment vertical="center" wrapText="1"/>
    </xf>
    <xf numFmtId="0" fontId="45" fillId="0" borderId="14" xfId="0" applyFont="1" applyBorder="1" applyAlignment="1">
      <alignment vertical="center" wrapText="1"/>
    </xf>
    <xf numFmtId="0" fontId="24" fillId="0" borderId="0" xfId="0" applyFont="1" applyAlignment="1">
      <alignment wrapText="1"/>
    </xf>
    <xf numFmtId="43" fontId="4" fillId="0" borderId="0" xfId="22" applyFont="1"/>
    <xf numFmtId="4" fontId="35" fillId="6" borderId="1" xfId="0" applyNumberFormat="1" applyFont="1" applyFill="1" applyBorder="1" applyAlignment="1">
      <alignment horizontal="left" wrapText="1"/>
    </xf>
    <xf numFmtId="0" fontId="25" fillId="6" borderId="15" xfId="0" applyFont="1" applyFill="1" applyBorder="1" applyAlignment="1">
      <alignment horizontal="left" wrapText="1"/>
    </xf>
    <xf numFmtId="0" fontId="19" fillId="6" borderId="15" xfId="0" applyFont="1" applyFill="1" applyBorder="1" applyAlignment="1">
      <alignment wrapText="1"/>
    </xf>
    <xf numFmtId="0" fontId="24" fillId="6" borderId="15" xfId="0" applyFont="1" applyFill="1" applyBorder="1" applyAlignment="1">
      <alignment wrapText="1"/>
    </xf>
    <xf numFmtId="165" fontId="20" fillId="6" borderId="15" xfId="0" applyNumberFormat="1" applyFont="1" applyFill="1" applyBorder="1" applyAlignment="1"/>
    <xf numFmtId="43" fontId="24" fillId="6" borderId="15" xfId="48" applyFont="1" applyFill="1" applyBorder="1" applyAlignment="1"/>
    <xf numFmtId="0" fontId="24" fillId="6" borderId="15" xfId="0" applyFont="1" applyFill="1" applyBorder="1" applyAlignment="1">
      <alignment horizontal="center"/>
    </xf>
    <xf numFmtId="4" fontId="10" fillId="6" borderId="15" xfId="0" applyNumberFormat="1" applyFont="1" applyFill="1" applyBorder="1" applyAlignment="1">
      <alignment horizontal="left" wrapText="1"/>
    </xf>
    <xf numFmtId="0" fontId="24" fillId="0" borderId="15" xfId="0" applyFont="1" applyFill="1" applyBorder="1" applyAlignment="1">
      <alignment horizontal="right" vertical="center"/>
    </xf>
    <xf numFmtId="0" fontId="24" fillId="0" borderId="15" xfId="0" applyFont="1" applyFill="1" applyBorder="1" applyAlignment="1">
      <alignment horizontal="center" vertical="center" wrapText="1"/>
    </xf>
    <xf numFmtId="0" fontId="24" fillId="0" borderId="15" xfId="0" applyFont="1" applyFill="1" applyBorder="1" applyAlignment="1">
      <alignment horizontal="center" vertical="center"/>
    </xf>
    <xf numFmtId="3" fontId="20" fillId="0" borderId="15" xfId="12" applyNumberFormat="1" applyFont="1" applyFill="1" applyBorder="1" applyAlignment="1">
      <alignment horizontal="center" vertical="center" wrapText="1"/>
    </xf>
    <xf numFmtId="165" fontId="20" fillId="0" borderId="15" xfId="12" applyNumberFormat="1" applyFont="1" applyFill="1" applyBorder="1" applyAlignment="1">
      <alignment horizontal="center" vertical="center" wrapText="1"/>
    </xf>
    <xf numFmtId="180" fontId="20" fillId="0" borderId="15" xfId="48" applyNumberFormat="1" applyFont="1" applyFill="1" applyBorder="1" applyAlignment="1">
      <alignment horizontal="center" vertical="center" wrapText="1"/>
    </xf>
    <xf numFmtId="0" fontId="25" fillId="0" borderId="15" xfId="0" applyFont="1" applyFill="1" applyBorder="1" applyAlignment="1">
      <alignment horizontal="left" wrapText="1"/>
    </xf>
    <xf numFmtId="0" fontId="25" fillId="0" borderId="15" xfId="0" applyFont="1" applyFill="1" applyBorder="1" applyAlignment="1">
      <alignment horizontal="center" vertical="center"/>
    </xf>
    <xf numFmtId="3" fontId="19" fillId="0" borderId="15" xfId="0" applyNumberFormat="1" applyFont="1" applyFill="1" applyBorder="1" applyAlignment="1">
      <alignment horizontal="center" vertical="center"/>
    </xf>
    <xf numFmtId="165" fontId="19" fillId="0" borderId="15" xfId="0" applyNumberFormat="1" applyFont="1" applyFill="1" applyBorder="1" applyAlignment="1"/>
    <xf numFmtId="0" fontId="25" fillId="0" borderId="15" xfId="0" applyFont="1" applyFill="1" applyBorder="1" applyAlignment="1">
      <alignment horizontal="left" vertical="center" wrapText="1"/>
    </xf>
    <xf numFmtId="43" fontId="19" fillId="0" borderId="15" xfId="4" applyNumberFormat="1" applyFont="1" applyFill="1" applyBorder="1" applyAlignment="1"/>
    <xf numFmtId="43" fontId="24" fillId="0" borderId="16" xfId="13" applyFont="1" applyFill="1" applyBorder="1"/>
    <xf numFmtId="43" fontId="20" fillId="6" borderId="15" xfId="13" applyFont="1" applyFill="1" applyBorder="1" applyAlignment="1">
      <alignment horizontal="center" vertical="center" wrapText="1"/>
    </xf>
    <xf numFmtId="0" fontId="19" fillId="6" borderId="15" xfId="11" applyFont="1" applyFill="1" applyBorder="1" applyAlignment="1">
      <alignment horizontal="right" vertical="center"/>
    </xf>
    <xf numFmtId="0" fontId="19" fillId="6" borderId="15" xfId="11" applyFont="1" applyFill="1" applyBorder="1"/>
    <xf numFmtId="0" fontId="20" fillId="6" borderId="15" xfId="11" applyFont="1" applyFill="1" applyBorder="1"/>
    <xf numFmtId="43" fontId="19" fillId="6" borderId="15" xfId="13" applyFont="1" applyFill="1" applyBorder="1"/>
    <xf numFmtId="4" fontId="19" fillId="6" borderId="15" xfId="11" applyNumberFormat="1" applyFont="1" applyFill="1" applyBorder="1" applyAlignment="1">
      <alignment wrapText="1"/>
    </xf>
    <xf numFmtId="0" fontId="20" fillId="6" borderId="15" xfId="11" applyFont="1" applyFill="1" applyBorder="1" applyAlignment="1">
      <alignment horizontal="right" vertical="center"/>
    </xf>
    <xf numFmtId="0" fontId="19" fillId="0" borderId="0" xfId="0" applyFont="1" applyAlignment="1">
      <alignment vertical="center"/>
    </xf>
    <xf numFmtId="0" fontId="24" fillId="3" borderId="15" xfId="0" applyFont="1" applyFill="1" applyBorder="1" applyAlignment="1">
      <alignment horizontal="center" vertical="center"/>
    </xf>
    <xf numFmtId="0" fontId="24" fillId="3" borderId="15" xfId="0" applyFont="1" applyFill="1" applyBorder="1" applyAlignment="1">
      <alignment horizontal="center" vertical="center" wrapText="1"/>
    </xf>
    <xf numFmtId="3" fontId="20" fillId="3" borderId="15" xfId="0" applyNumberFormat="1" applyFont="1" applyFill="1" applyBorder="1" applyAlignment="1">
      <alignment horizontal="center" vertical="center"/>
    </xf>
    <xf numFmtId="3" fontId="20" fillId="3" borderId="15" xfId="12" applyNumberFormat="1" applyFont="1" applyFill="1" applyBorder="1" applyAlignment="1">
      <alignment horizontal="center" vertical="center"/>
    </xf>
    <xf numFmtId="0" fontId="0" fillId="0" borderId="0" xfId="0" applyFont="1" applyFill="1" applyAlignment="1">
      <alignment vertical="center"/>
    </xf>
    <xf numFmtId="0" fontId="0" fillId="0" borderId="15" xfId="0" applyFont="1" applyFill="1" applyBorder="1" applyAlignment="1">
      <alignment horizontal="center" vertical="center"/>
    </xf>
    <xf numFmtId="4" fontId="19" fillId="0" borderId="15" xfId="0" applyNumberFormat="1" applyFont="1" applyFill="1" applyBorder="1" applyAlignment="1">
      <alignment horizontal="center" vertical="center"/>
    </xf>
    <xf numFmtId="0" fontId="0" fillId="0" borderId="15" xfId="0" applyFont="1" applyFill="1" applyBorder="1" applyAlignment="1"/>
    <xf numFmtId="0" fontId="0" fillId="0" borderId="0" xfId="0" applyFont="1" applyFill="1" applyBorder="1" applyAlignment="1"/>
    <xf numFmtId="4" fontId="19" fillId="0" borderId="15" xfId="0" applyNumberFormat="1" applyFont="1" applyFill="1" applyBorder="1" applyAlignment="1">
      <alignment horizontal="center"/>
    </xf>
    <xf numFmtId="43" fontId="19" fillId="0" borderId="15" xfId="4" applyFont="1" applyFill="1" applyBorder="1" applyAlignment="1"/>
    <xf numFmtId="3" fontId="0" fillId="0" borderId="15" xfId="0" applyNumberFormat="1" applyFont="1" applyFill="1" applyBorder="1" applyAlignment="1">
      <alignment horizontal="center" vertical="center"/>
    </xf>
    <xf numFmtId="0" fontId="0" fillId="0" borderId="15" xfId="0" applyFont="1" applyFill="1" applyBorder="1" applyAlignment="1">
      <alignment vertical="center" wrapText="1"/>
    </xf>
    <xf numFmtId="0" fontId="19" fillId="0" borderId="15" xfId="5" applyFont="1" applyFill="1" applyBorder="1" applyAlignment="1">
      <alignment horizontal="left" vertical="center" wrapText="1"/>
    </xf>
    <xf numFmtId="0" fontId="20" fillId="0" borderId="15" xfId="5" applyFont="1" applyFill="1" applyBorder="1" applyAlignment="1">
      <alignment horizontal="left" vertical="center" wrapText="1"/>
    </xf>
    <xf numFmtId="3" fontId="24" fillId="0" borderId="15" xfId="0" applyNumberFormat="1" applyFont="1" applyFill="1" applyBorder="1" applyAlignment="1">
      <alignment horizontal="center" vertical="center"/>
    </xf>
    <xf numFmtId="0" fontId="24" fillId="0" borderId="0" xfId="0" applyFont="1" applyFill="1" applyAlignment="1">
      <alignment vertical="center"/>
    </xf>
    <xf numFmtId="0" fontId="24" fillId="0" borderId="15" xfId="0" applyFont="1" applyFill="1" applyBorder="1" applyAlignment="1">
      <alignment vertical="center" wrapText="1"/>
    </xf>
    <xf numFmtId="0" fontId="19" fillId="0" borderId="15" xfId="10" applyFont="1" applyFill="1" applyBorder="1" applyAlignment="1">
      <alignment horizontal="left" vertical="center" wrapText="1"/>
    </xf>
    <xf numFmtId="0" fontId="25" fillId="0" borderId="15" xfId="10" applyFont="1" applyFill="1" applyBorder="1" applyAlignment="1">
      <alignment horizontal="left" vertical="center" wrapText="1"/>
    </xf>
    <xf numFmtId="0" fontId="26" fillId="0" borderId="15" xfId="5" applyFont="1" applyFill="1" applyBorder="1" applyAlignment="1">
      <alignment horizontal="left" vertical="center" wrapText="1"/>
    </xf>
    <xf numFmtId="0" fontId="26" fillId="0" borderId="15" xfId="10" applyFont="1" applyFill="1" applyBorder="1" applyAlignment="1">
      <alignment horizontal="left" vertical="center" wrapText="1"/>
    </xf>
    <xf numFmtId="2" fontId="0" fillId="0" borderId="15" xfId="0" applyNumberFormat="1" applyFont="1" applyFill="1" applyBorder="1" applyAlignment="1">
      <alignment horizontal="center" vertical="center"/>
    </xf>
    <xf numFmtId="0" fontId="0" fillId="0" borderId="15" xfId="0" applyFont="1" applyFill="1" applyBorder="1" applyAlignment="1">
      <alignment horizontal="left" vertical="center" wrapText="1"/>
    </xf>
    <xf numFmtId="2" fontId="24" fillId="0" borderId="15" xfId="0" applyNumberFormat="1" applyFont="1" applyFill="1" applyBorder="1" applyAlignment="1">
      <alignment horizontal="center" vertical="center"/>
    </xf>
    <xf numFmtId="0" fontId="0" fillId="0" borderId="15" xfId="0" applyFont="1" applyFill="1" applyBorder="1" applyAlignment="1">
      <alignment horizontal="right" vertical="center"/>
    </xf>
    <xf numFmtId="0" fontId="26" fillId="0" borderId="15"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0" fillId="0" borderId="0" xfId="0" applyFont="1" applyFill="1" applyBorder="1" applyAlignment="1">
      <alignment vertical="center"/>
    </xf>
    <xf numFmtId="165" fontId="24" fillId="0" borderId="15" xfId="0" applyNumberFormat="1" applyFont="1" applyFill="1" applyBorder="1" applyAlignment="1">
      <alignment horizontal="center" vertical="center"/>
    </xf>
    <xf numFmtId="0" fontId="24" fillId="0" borderId="0" xfId="0" applyFont="1" applyFill="1" applyBorder="1" applyAlignment="1">
      <alignment vertical="center"/>
    </xf>
    <xf numFmtId="165" fontId="0" fillId="0" borderId="15" xfId="0" applyNumberFormat="1" applyFont="1" applyFill="1" applyBorder="1" applyAlignment="1">
      <alignment horizontal="center" vertical="center"/>
    </xf>
    <xf numFmtId="0" fontId="19" fillId="0" borderId="15" xfId="10" applyFont="1" applyFill="1" applyBorder="1" applyAlignment="1">
      <alignment vertical="center" wrapText="1"/>
    </xf>
    <xf numFmtId="0" fontId="19" fillId="0" borderId="15" xfId="10" applyFont="1" applyFill="1" applyBorder="1" applyAlignment="1">
      <alignment horizontal="center" vertical="center"/>
    </xf>
    <xf numFmtId="0" fontId="25" fillId="0" borderId="15" xfId="10" applyFont="1" applyFill="1" applyBorder="1" applyAlignment="1">
      <alignment vertical="center" wrapText="1"/>
    </xf>
    <xf numFmtId="0" fontId="0" fillId="0" borderId="0" xfId="0" applyFont="1"/>
    <xf numFmtId="0" fontId="0" fillId="0" borderId="0" xfId="0" applyFont="1" applyAlignment="1">
      <alignment wrapText="1"/>
    </xf>
    <xf numFmtId="0" fontId="25" fillId="0" borderId="15" xfId="0" applyFont="1" applyFill="1" applyBorder="1" applyAlignment="1">
      <alignment vertical="center"/>
    </xf>
    <xf numFmtId="0" fontId="19" fillId="0" borderId="15" xfId="0" applyFont="1" applyFill="1" applyBorder="1" applyAlignment="1">
      <alignment horizontal="right" vertical="center"/>
    </xf>
    <xf numFmtId="0" fontId="20" fillId="0" borderId="15" xfId="0" applyFont="1" applyFill="1" applyBorder="1" applyAlignment="1">
      <alignment horizontal="left" wrapText="1"/>
    </xf>
    <xf numFmtId="0" fontId="19" fillId="0" borderId="15" xfId="0" applyFont="1" applyFill="1" applyBorder="1" applyAlignment="1">
      <alignment horizontal="left" wrapText="1"/>
    </xf>
    <xf numFmtId="0" fontId="26" fillId="0" borderId="15" xfId="0" applyFont="1" applyFill="1" applyBorder="1" applyAlignment="1">
      <alignment horizontal="left" wrapText="1"/>
    </xf>
    <xf numFmtId="2" fontId="19" fillId="0" borderId="15" xfId="0" applyNumberFormat="1" applyFont="1" applyFill="1" applyBorder="1" applyAlignment="1">
      <alignment horizontal="right" vertical="center"/>
    </xf>
    <xf numFmtId="0" fontId="20" fillId="0" borderId="15" xfId="0" applyFont="1" applyFill="1" applyBorder="1" applyAlignment="1">
      <alignment horizontal="right" vertical="center"/>
    </xf>
    <xf numFmtId="43" fontId="20" fillId="0" borderId="15" xfId="4" applyNumberFormat="1" applyFont="1" applyFill="1" applyBorder="1" applyAlignment="1"/>
    <xf numFmtId="0" fontId="6" fillId="6" borderId="15" xfId="0" applyFont="1" applyFill="1" applyBorder="1" applyAlignment="1">
      <alignment horizontal="right" vertical="center"/>
    </xf>
    <xf numFmtId="0" fontId="6" fillId="6" borderId="15" xfId="0" applyFont="1" applyFill="1" applyBorder="1" applyAlignment="1">
      <alignment horizontal="center" vertical="center" wrapText="1"/>
    </xf>
    <xf numFmtId="0" fontId="7" fillId="6" borderId="15" xfId="0" applyFont="1" applyFill="1" applyBorder="1" applyAlignment="1">
      <alignment horizontal="right" vertical="center"/>
    </xf>
    <xf numFmtId="0" fontId="7" fillId="6" borderId="15" xfId="0" applyFont="1" applyFill="1" applyBorder="1" applyAlignment="1">
      <alignment horizontal="left" wrapText="1"/>
    </xf>
    <xf numFmtId="43" fontId="7" fillId="6" borderId="15" xfId="48" applyFont="1" applyFill="1" applyBorder="1" applyAlignment="1"/>
    <xf numFmtId="0" fontId="9" fillId="6" borderId="15" xfId="0" applyFont="1" applyFill="1" applyBorder="1" applyAlignment="1">
      <alignment horizontal="right" vertical="center"/>
    </xf>
    <xf numFmtId="0" fontId="10" fillId="6" borderId="15" xfId="0" applyFont="1" applyFill="1" applyBorder="1" applyAlignment="1">
      <alignment horizontal="left" wrapText="1"/>
    </xf>
    <xf numFmtId="165" fontId="19" fillId="6" borderId="15" xfId="0" applyNumberFormat="1" applyFont="1" applyFill="1" applyBorder="1" applyAlignment="1"/>
    <xf numFmtId="0" fontId="24" fillId="6" borderId="15" xfId="0" applyFont="1" applyFill="1" applyBorder="1" applyAlignment="1">
      <alignment horizontal="right" vertical="center"/>
    </xf>
    <xf numFmtId="0" fontId="6" fillId="6" borderId="15" xfId="0" applyFont="1" applyFill="1" applyBorder="1" applyAlignment="1">
      <alignment horizontal="right" vertical="center" wrapText="1"/>
    </xf>
    <xf numFmtId="0" fontId="8" fillId="6" borderId="15" xfId="0" applyFont="1" applyFill="1" applyBorder="1" applyAlignment="1">
      <alignment horizontal="right" vertical="center" wrapText="1"/>
    </xf>
    <xf numFmtId="3" fontId="19" fillId="0" borderId="15" xfId="0" applyNumberFormat="1" applyFont="1" applyFill="1" applyBorder="1" applyAlignment="1">
      <alignment horizontal="center"/>
    </xf>
    <xf numFmtId="3" fontId="20" fillId="0" borderId="15" xfId="0" applyNumberFormat="1" applyFont="1" applyFill="1" applyBorder="1" applyAlignment="1">
      <alignment horizontal="center"/>
    </xf>
    <xf numFmtId="0" fontId="6" fillId="6" borderId="15" xfId="0" applyFont="1" applyFill="1" applyBorder="1" applyAlignment="1">
      <alignment horizontal="center" vertical="center"/>
    </xf>
    <xf numFmtId="4" fontId="7" fillId="6" borderId="15" xfId="0" applyNumberFormat="1" applyFont="1" applyFill="1" applyBorder="1" applyAlignment="1">
      <alignment horizontal="center"/>
    </xf>
    <xf numFmtId="3" fontId="7" fillId="6" borderId="15" xfId="0" applyNumberFormat="1" applyFont="1" applyFill="1" applyBorder="1" applyAlignment="1">
      <alignment horizontal="center"/>
    </xf>
    <xf numFmtId="4" fontId="9" fillId="6" borderId="15" xfId="0" applyNumberFormat="1" applyFont="1" applyFill="1" applyBorder="1" applyAlignment="1">
      <alignment horizontal="center"/>
    </xf>
    <xf numFmtId="3" fontId="9" fillId="6" borderId="15" xfId="0" applyNumberFormat="1" applyFont="1" applyFill="1" applyBorder="1" applyAlignment="1">
      <alignment horizontal="center"/>
    </xf>
    <xf numFmtId="166" fontId="0" fillId="0" borderId="15" xfId="0" applyNumberFormat="1" applyFont="1" applyFill="1" applyBorder="1" applyAlignment="1">
      <alignment horizontal="center" vertical="center"/>
    </xf>
    <xf numFmtId="4" fontId="19" fillId="0" borderId="15" xfId="0" applyNumberFormat="1" applyFont="1" applyFill="1" applyBorder="1" applyAlignment="1">
      <alignment horizontal="right" vertical="center"/>
    </xf>
    <xf numFmtId="0" fontId="20" fillId="0" borderId="15" xfId="0" applyFont="1" applyFill="1" applyBorder="1" applyAlignment="1">
      <alignment horizontal="left" vertical="center" wrapText="1"/>
    </xf>
    <xf numFmtId="4" fontId="20" fillId="0" borderId="15" xfId="0" applyNumberFormat="1" applyFont="1" applyFill="1" applyBorder="1" applyAlignment="1">
      <alignment horizontal="right" vertical="center"/>
    </xf>
    <xf numFmtId="0" fontId="26" fillId="0" borderId="15" xfId="0" applyFont="1" applyFill="1" applyBorder="1" applyAlignment="1">
      <alignment vertical="center" wrapText="1"/>
    </xf>
    <xf numFmtId="0" fontId="55" fillId="0" borderId="15" xfId="0" applyFont="1" applyFill="1" applyBorder="1" applyAlignment="1">
      <alignment horizontal="left" vertical="center" wrapText="1"/>
    </xf>
    <xf numFmtId="2" fontId="19" fillId="0" borderId="15" xfId="0" applyNumberFormat="1" applyFont="1" applyFill="1" applyBorder="1" applyAlignment="1">
      <alignment horizontal="center" vertical="center"/>
    </xf>
    <xf numFmtId="1" fontId="19" fillId="0" borderId="15" xfId="0" applyNumberFormat="1" applyFont="1" applyFill="1" applyBorder="1" applyAlignment="1">
      <alignment horizontal="center" vertical="center"/>
    </xf>
    <xf numFmtId="0" fontId="19" fillId="0" borderId="15" xfId="0" applyFont="1" applyFill="1" applyBorder="1" applyAlignment="1">
      <alignment horizontal="center" vertical="center"/>
    </xf>
    <xf numFmtId="2" fontId="19" fillId="0" borderId="15" xfId="10" applyNumberFormat="1" applyFont="1" applyFill="1" applyBorder="1" applyAlignment="1">
      <alignment horizontal="center" vertical="center"/>
    </xf>
    <xf numFmtId="0" fontId="56" fillId="0" borderId="15" xfId="0" applyFont="1" applyFill="1" applyBorder="1" applyAlignment="1">
      <alignment horizontal="left" vertical="center" wrapText="1"/>
    </xf>
    <xf numFmtId="0" fontId="20" fillId="0" borderId="15" xfId="0" applyFont="1" applyFill="1" applyBorder="1" applyAlignment="1">
      <alignment vertical="center" wrapText="1"/>
    </xf>
    <xf numFmtId="0" fontId="19" fillId="0" borderId="15" xfId="0" applyFont="1" applyFill="1" applyBorder="1" applyAlignment="1">
      <alignment vertical="center"/>
    </xf>
    <xf numFmtId="3" fontId="25" fillId="0" borderId="15" xfId="0" applyNumberFormat="1" applyFont="1" applyFill="1" applyBorder="1" applyAlignment="1">
      <alignment horizontal="center" vertical="center"/>
    </xf>
    <xf numFmtId="0" fontId="25" fillId="0" borderId="15" xfId="0" applyFont="1" applyFill="1" applyBorder="1" applyAlignment="1">
      <alignment horizontal="center" vertical="center" wrapText="1"/>
    </xf>
    <xf numFmtId="43" fontId="19" fillId="0" borderId="15" xfId="4" applyFont="1" applyFill="1" applyBorder="1" applyAlignment="1">
      <alignment horizontal="right" vertical="center"/>
    </xf>
    <xf numFmtId="0" fontId="19" fillId="0" borderId="15" xfId="0" applyFont="1" applyFill="1" applyBorder="1" applyAlignment="1">
      <alignment horizontal="center" vertical="center" wrapText="1"/>
    </xf>
    <xf numFmtId="3" fontId="19" fillId="0" borderId="15" xfId="78" quotePrefix="1" applyNumberFormat="1" applyFont="1" applyFill="1" applyBorder="1" applyAlignment="1">
      <alignment horizontal="center" vertical="center"/>
    </xf>
    <xf numFmtId="4" fontId="26" fillId="0" borderId="15" xfId="0" applyNumberFormat="1" applyFont="1" applyFill="1" applyBorder="1" applyAlignment="1">
      <alignment horizontal="center" vertical="center"/>
    </xf>
    <xf numFmtId="3" fontId="20" fillId="0" borderId="15" xfId="12" applyNumberFormat="1" applyFont="1" applyFill="1" applyBorder="1" applyAlignment="1">
      <alignment horizontal="center" wrapText="1"/>
    </xf>
    <xf numFmtId="3" fontId="7" fillId="6" borderId="15" xfId="12" applyNumberFormat="1" applyFont="1" applyFill="1" applyBorder="1" applyAlignment="1">
      <alignment horizontal="center" wrapText="1"/>
    </xf>
    <xf numFmtId="165" fontId="20" fillId="0" borderId="15" xfId="12" applyNumberFormat="1" applyFont="1" applyFill="1" applyBorder="1" applyAlignment="1">
      <alignment horizontal="center" wrapText="1"/>
    </xf>
    <xf numFmtId="165" fontId="19" fillId="0" borderId="15" xfId="0" applyNumberFormat="1" applyFont="1" applyFill="1" applyBorder="1" applyAlignment="1">
      <alignment horizontal="center"/>
    </xf>
    <xf numFmtId="165" fontId="20" fillId="0" borderId="15" xfId="0" applyNumberFormat="1" applyFont="1" applyFill="1" applyBorder="1" applyAlignment="1">
      <alignment horizontal="center"/>
    </xf>
    <xf numFmtId="165" fontId="7" fillId="6" borderId="15" xfId="12" applyNumberFormat="1" applyFont="1" applyFill="1" applyBorder="1" applyAlignment="1">
      <alignment horizontal="center" wrapText="1"/>
    </xf>
    <xf numFmtId="165" fontId="7" fillId="6" borderId="15" xfId="0" applyNumberFormat="1" applyFont="1" applyFill="1" applyBorder="1" applyAlignment="1">
      <alignment horizontal="center"/>
    </xf>
    <xf numFmtId="165" fontId="9" fillId="6" borderId="15" xfId="0" applyNumberFormat="1" applyFont="1" applyFill="1" applyBorder="1" applyAlignment="1">
      <alignment horizontal="center"/>
    </xf>
    <xf numFmtId="180" fontId="20" fillId="0" borderId="15" xfId="48" applyNumberFormat="1" applyFont="1" applyFill="1" applyBorder="1" applyAlignment="1">
      <alignment wrapText="1"/>
    </xf>
    <xf numFmtId="43" fontId="7" fillId="6" borderId="15" xfId="48" applyFont="1" applyFill="1" applyBorder="1" applyAlignment="1">
      <alignment wrapText="1"/>
    </xf>
    <xf numFmtId="43" fontId="0" fillId="0" borderId="15" xfId="0" applyNumberFormat="1" applyFont="1" applyFill="1" applyBorder="1" applyAlignment="1"/>
    <xf numFmtId="3" fontId="0" fillId="0" borderId="15" xfId="0" applyNumberFormat="1" applyFont="1" applyFill="1" applyBorder="1" applyAlignment="1">
      <alignment horizontal="center"/>
    </xf>
    <xf numFmtId="180" fontId="0" fillId="0" borderId="15" xfId="48" applyNumberFormat="1" applyFont="1" applyFill="1" applyBorder="1" applyAlignment="1"/>
    <xf numFmtId="0" fontId="52" fillId="6" borderId="15" xfId="0" applyNumberFormat="1" applyFont="1" applyFill="1" applyBorder="1" applyAlignment="1">
      <alignment horizontal="right" vertical="center" wrapText="1"/>
    </xf>
    <xf numFmtId="1" fontId="21" fillId="6" borderId="15" xfId="0" applyNumberFormat="1" applyFont="1" applyFill="1" applyBorder="1" applyAlignment="1">
      <alignment horizontal="center" wrapText="1"/>
    </xf>
    <xf numFmtId="43" fontId="21" fillId="6" borderId="15" xfId="48" applyFont="1" applyFill="1" applyBorder="1" applyAlignment="1">
      <alignment wrapText="1"/>
    </xf>
    <xf numFmtId="0" fontId="52" fillId="6" borderId="15" xfId="0" applyFont="1" applyFill="1" applyBorder="1" applyAlignment="1">
      <alignment wrapText="1"/>
    </xf>
    <xf numFmtId="0" fontId="21" fillId="6" borderId="15" xfId="0" applyNumberFormat="1" applyFont="1" applyFill="1" applyBorder="1" applyAlignment="1">
      <alignment horizontal="right" vertical="center" wrapText="1"/>
    </xf>
    <xf numFmtId="0" fontId="21" fillId="6" borderId="15" xfId="0" applyNumberFormat="1" applyFont="1" applyFill="1" applyBorder="1" applyAlignment="1">
      <alignment vertical="top" wrapText="1"/>
    </xf>
    <xf numFmtId="0" fontId="21" fillId="6" borderId="15" xfId="0" applyNumberFormat="1" applyFont="1" applyFill="1" applyBorder="1" applyAlignment="1">
      <alignment horizontal="center" wrapText="1"/>
    </xf>
    <xf numFmtId="0" fontId="52" fillId="6" borderId="15" xfId="0" applyNumberFormat="1" applyFont="1" applyFill="1" applyBorder="1" applyAlignment="1">
      <alignment vertical="top" wrapText="1"/>
    </xf>
    <xf numFmtId="0" fontId="21" fillId="6" borderId="15" xfId="0" applyNumberFormat="1" applyFont="1" applyFill="1" applyBorder="1" applyAlignment="1">
      <alignment horizontal="center" vertical="top" wrapText="1"/>
    </xf>
    <xf numFmtId="1" fontId="52" fillId="6" borderId="15" xfId="0" applyNumberFormat="1" applyFont="1" applyFill="1" applyBorder="1" applyAlignment="1">
      <alignment horizontal="center" wrapText="1"/>
    </xf>
    <xf numFmtId="0" fontId="21" fillId="6" borderId="15" xfId="0" applyFont="1" applyFill="1" applyBorder="1" applyAlignment="1">
      <alignment horizontal="center" wrapText="1"/>
    </xf>
    <xf numFmtId="0" fontId="21" fillId="6" borderId="15" xfId="0" applyFont="1" applyFill="1" applyBorder="1" applyAlignment="1">
      <alignment wrapText="1"/>
    </xf>
    <xf numFmtId="0" fontId="6" fillId="6" borderId="15" xfId="0" applyFont="1" applyFill="1" applyBorder="1" applyAlignment="1">
      <alignment wrapText="1"/>
    </xf>
    <xf numFmtId="43" fontId="6" fillId="6" borderId="15" xfId="48" applyFont="1" applyFill="1" applyBorder="1" applyAlignment="1"/>
    <xf numFmtId="43" fontId="8" fillId="6" borderId="15" xfId="48" applyFont="1" applyFill="1" applyBorder="1" applyAlignment="1"/>
    <xf numFmtId="0" fontId="6" fillId="6" borderId="15" xfId="0" applyFont="1" applyFill="1" applyBorder="1" applyAlignment="1">
      <alignment horizontal="center" wrapText="1"/>
    </xf>
    <xf numFmtId="1" fontId="52" fillId="6" borderId="15" xfId="0" applyNumberFormat="1" applyFont="1" applyFill="1" applyBorder="1" applyAlignment="1">
      <alignment horizontal="center" vertical="top" wrapText="1"/>
    </xf>
    <xf numFmtId="0" fontId="21" fillId="6" borderId="15" xfId="0" applyFont="1" applyFill="1" applyBorder="1" applyAlignment="1">
      <alignment horizontal="center"/>
    </xf>
    <xf numFmtId="0" fontId="9" fillId="6" borderId="15" xfId="0" applyFont="1" applyFill="1" applyBorder="1" applyAlignment="1">
      <alignment horizontal="center"/>
    </xf>
    <xf numFmtId="43" fontId="9" fillId="6" borderId="15" xfId="48" applyFont="1" applyFill="1" applyBorder="1" applyAlignment="1"/>
    <xf numFmtId="0" fontId="21" fillId="6" borderId="15" xfId="0" applyFont="1" applyFill="1" applyBorder="1" applyAlignment="1">
      <alignment horizontal="right" vertical="center"/>
    </xf>
    <xf numFmtId="0" fontId="52" fillId="6" borderId="15" xfId="0" applyNumberFormat="1" applyFont="1" applyFill="1" applyBorder="1" applyAlignment="1">
      <alignment horizontal="center" vertical="top" wrapText="1"/>
    </xf>
    <xf numFmtId="0" fontId="8" fillId="6" borderId="15" xfId="0" applyFont="1" applyFill="1" applyBorder="1" applyAlignment="1">
      <alignment horizontal="right" vertical="center"/>
    </xf>
    <xf numFmtId="0" fontId="53" fillId="6" borderId="15" xfId="0" applyFont="1" applyFill="1" applyBorder="1" applyAlignment="1">
      <alignment vertical="center" wrapText="1"/>
    </xf>
    <xf numFmtId="0" fontId="8" fillId="6" borderId="15" xfId="0" applyFont="1" applyFill="1" applyBorder="1" applyAlignment="1">
      <alignment horizontal="center" vertical="center"/>
    </xf>
    <xf numFmtId="0" fontId="8" fillId="6" borderId="15" xfId="0" applyFont="1" applyFill="1" applyBorder="1" applyAlignment="1">
      <alignment horizontal="center"/>
    </xf>
    <xf numFmtId="0" fontId="8" fillId="6" borderId="15" xfId="0" applyFont="1" applyFill="1" applyBorder="1" applyAlignment="1">
      <alignment vertical="center" wrapText="1"/>
    </xf>
    <xf numFmtId="3" fontId="8" fillId="6" borderId="15" xfId="0" applyNumberFormat="1" applyFont="1" applyFill="1" applyBorder="1" applyAlignment="1">
      <alignment horizontal="center"/>
    </xf>
    <xf numFmtId="0" fontId="6" fillId="6" borderId="15" xfId="0" applyFont="1" applyFill="1" applyBorder="1" applyAlignment="1">
      <alignment vertical="center" wrapText="1"/>
    </xf>
    <xf numFmtId="0" fontId="6" fillId="6" borderId="15" xfId="0" applyFont="1" applyFill="1" applyBorder="1" applyAlignment="1">
      <alignment horizontal="center"/>
    </xf>
    <xf numFmtId="4" fontId="12" fillId="6" borderId="15" xfId="0" applyNumberFormat="1" applyFont="1" applyFill="1" applyBorder="1" applyAlignment="1">
      <alignment horizontal="left" wrapText="1"/>
    </xf>
    <xf numFmtId="3" fontId="10" fillId="6" borderId="15" xfId="0" applyNumberFormat="1" applyFont="1" applyFill="1" applyBorder="1" applyAlignment="1">
      <alignment horizontal="center"/>
    </xf>
    <xf numFmtId="165" fontId="10" fillId="6" borderId="15" xfId="0" applyNumberFormat="1" applyFont="1" applyFill="1" applyBorder="1" applyAlignment="1">
      <alignment horizontal="center"/>
    </xf>
    <xf numFmtId="4" fontId="10" fillId="6" borderId="15" xfId="0" applyNumberFormat="1" applyFont="1" applyFill="1" applyBorder="1" applyAlignment="1">
      <alignment horizontal="center"/>
    </xf>
    <xf numFmtId="0" fontId="9" fillId="6" borderId="15" xfId="5" applyFont="1" applyFill="1" applyBorder="1" applyAlignment="1">
      <alignment horizontal="right" vertical="center"/>
    </xf>
    <xf numFmtId="4" fontId="7" fillId="6" borderId="15" xfId="0" applyNumberFormat="1" applyFont="1" applyFill="1" applyBorder="1" applyAlignment="1">
      <alignment horizontal="left" vertical="center" wrapText="1"/>
    </xf>
    <xf numFmtId="3" fontId="9" fillId="6" borderId="15" xfId="0" applyNumberFormat="1" applyFont="1" applyFill="1" applyBorder="1" applyAlignment="1">
      <alignment horizontal="left" wrapText="1"/>
    </xf>
    <xf numFmtId="3" fontId="10" fillId="6" borderId="15" xfId="0" applyNumberFormat="1" applyFont="1" applyFill="1" applyBorder="1" applyAlignment="1">
      <alignment horizontal="left" wrapText="1"/>
    </xf>
    <xf numFmtId="4" fontId="9" fillId="6" borderId="15" xfId="0" applyNumberFormat="1" applyFont="1" applyFill="1" applyBorder="1" applyAlignment="1">
      <alignment horizontal="left" wrapText="1"/>
    </xf>
    <xf numFmtId="0" fontId="7" fillId="6" borderId="15" xfId="0" applyFont="1" applyFill="1" applyBorder="1" applyAlignment="1">
      <alignment horizontal="center"/>
    </xf>
    <xf numFmtId="43" fontId="10" fillId="6" borderId="15" xfId="48" applyFont="1" applyFill="1" applyBorder="1" applyAlignment="1"/>
    <xf numFmtId="4" fontId="9" fillId="6" borderId="15" xfId="0" applyNumberFormat="1" applyFont="1" applyFill="1" applyBorder="1" applyAlignment="1">
      <alignment horizontal="center" wrapText="1"/>
    </xf>
    <xf numFmtId="165" fontId="9" fillId="6" borderId="15" xfId="0" applyNumberFormat="1" applyFont="1" applyFill="1" applyBorder="1" applyAlignment="1">
      <alignment horizontal="center" wrapText="1"/>
    </xf>
    <xf numFmtId="43" fontId="9" fillId="6" borderId="15" xfId="48" applyFont="1" applyFill="1" applyBorder="1" applyAlignment="1">
      <alignment wrapText="1"/>
    </xf>
    <xf numFmtId="4" fontId="8" fillId="6" borderId="15" xfId="0" applyNumberFormat="1" applyFont="1" applyFill="1" applyBorder="1" applyAlignment="1">
      <alignment horizontal="left" wrapText="1"/>
    </xf>
    <xf numFmtId="4" fontId="8" fillId="6" borderId="15" xfId="0" applyNumberFormat="1" applyFont="1" applyFill="1" applyBorder="1" applyAlignment="1">
      <alignment horizontal="center" wrapText="1"/>
    </xf>
    <xf numFmtId="165" fontId="8" fillId="6" borderId="15" xfId="0" applyNumberFormat="1" applyFont="1" applyFill="1" applyBorder="1" applyAlignment="1">
      <alignment horizontal="center" wrapText="1"/>
    </xf>
    <xf numFmtId="43" fontId="8" fillId="6" borderId="15" xfId="48" applyFont="1" applyFill="1" applyBorder="1" applyAlignment="1">
      <alignment wrapText="1"/>
    </xf>
    <xf numFmtId="0" fontId="8" fillId="6" borderId="15" xfId="0" applyFont="1" applyFill="1" applyBorder="1" applyAlignment="1">
      <alignment horizontal="left" wrapText="1"/>
    </xf>
    <xf numFmtId="0" fontId="8" fillId="6" borderId="15" xfId="0" applyFont="1" applyFill="1" applyBorder="1" applyAlignment="1">
      <alignment horizontal="center" wrapText="1"/>
    </xf>
    <xf numFmtId="0" fontId="0" fillId="6" borderId="15" xfId="0" applyFont="1" applyFill="1" applyBorder="1" applyAlignment="1">
      <alignment horizontal="right" vertical="center" wrapText="1"/>
    </xf>
    <xf numFmtId="0" fontId="0" fillId="6" borderId="15" xfId="0" applyFont="1" applyFill="1" applyBorder="1" applyAlignment="1">
      <alignment horizontal="left" wrapText="1"/>
    </xf>
    <xf numFmtId="4" fontId="0" fillId="6" borderId="15" xfId="0" applyNumberFormat="1" applyFont="1" applyFill="1" applyBorder="1" applyAlignment="1">
      <alignment horizontal="center" wrapText="1"/>
    </xf>
    <xf numFmtId="3" fontId="0" fillId="6" borderId="15" xfId="0" applyNumberFormat="1" applyFont="1" applyFill="1" applyBorder="1" applyAlignment="1">
      <alignment horizontal="center" wrapText="1"/>
    </xf>
    <xf numFmtId="165" fontId="0" fillId="6" borderId="15" xfId="0" applyNumberFormat="1" applyFont="1" applyFill="1" applyBorder="1" applyAlignment="1">
      <alignment horizontal="center" wrapText="1"/>
    </xf>
    <xf numFmtId="0" fontId="0" fillId="6" borderId="15" xfId="0" applyFont="1" applyFill="1" applyBorder="1" applyAlignment="1">
      <alignment wrapText="1"/>
    </xf>
    <xf numFmtId="0" fontId="0" fillId="6" borderId="15" xfId="0" applyFont="1" applyFill="1" applyBorder="1" applyAlignment="1">
      <alignment horizontal="center" wrapText="1"/>
    </xf>
    <xf numFmtId="4" fontId="0" fillId="6" borderId="15" xfId="0" applyNumberFormat="1" applyFont="1" applyFill="1" applyBorder="1" applyAlignment="1">
      <alignment wrapText="1"/>
    </xf>
    <xf numFmtId="0" fontId="6" fillId="6" borderId="15" xfId="0" applyFont="1" applyFill="1" applyBorder="1" applyAlignment="1">
      <alignment horizontal="left" wrapText="1"/>
    </xf>
    <xf numFmtId="43" fontId="53" fillId="6" borderId="15" xfId="48" applyFont="1" applyFill="1" applyBorder="1" applyAlignment="1"/>
    <xf numFmtId="0" fontId="0" fillId="0" borderId="15" xfId="0" applyFont="1" applyBorder="1" applyAlignment="1">
      <alignment vertical="center" wrapText="1"/>
    </xf>
    <xf numFmtId="0" fontId="0" fillId="0" borderId="15" xfId="0" applyFont="1" applyBorder="1" applyAlignment="1">
      <alignment wrapText="1"/>
    </xf>
    <xf numFmtId="0" fontId="0" fillId="0" borderId="15" xfId="0" applyFont="1" applyBorder="1" applyAlignment="1">
      <alignment horizontal="center" wrapText="1"/>
    </xf>
    <xf numFmtId="0" fontId="0" fillId="6" borderId="15" xfId="0" applyFont="1" applyFill="1" applyBorder="1" applyAlignment="1">
      <alignment horizontal="right" vertical="center"/>
    </xf>
    <xf numFmtId="0" fontId="0" fillId="6" borderId="15" xfId="0" applyFont="1" applyFill="1" applyBorder="1" applyAlignment="1">
      <alignment horizontal="center"/>
    </xf>
    <xf numFmtId="43" fontId="0" fillId="6" borderId="15" xfId="48" applyFont="1" applyFill="1" applyBorder="1" applyAlignment="1"/>
    <xf numFmtId="0" fontId="0" fillId="0" borderId="0" xfId="0" applyFont="1" applyAlignment="1">
      <alignment horizontal="center"/>
    </xf>
    <xf numFmtId="0" fontId="0" fillId="0" borderId="0" xfId="0" applyFont="1" applyAlignment="1"/>
    <xf numFmtId="4" fontId="6" fillId="6" borderId="15" xfId="0" applyNumberFormat="1" applyFont="1" applyFill="1" applyBorder="1" applyAlignment="1">
      <alignment horizontal="left" wrapText="1"/>
    </xf>
    <xf numFmtId="0" fontId="24" fillId="0" borderId="15" xfId="0" applyFont="1" applyBorder="1" applyAlignment="1">
      <alignment wrapText="1"/>
    </xf>
    <xf numFmtId="0" fontId="0" fillId="0" borderId="15" xfId="0" applyBorder="1"/>
    <xf numFmtId="0" fontId="0" fillId="0" borderId="15" xfId="0" applyFill="1" applyBorder="1"/>
    <xf numFmtId="43" fontId="0" fillId="0" borderId="15" xfId="48" applyFont="1" applyBorder="1"/>
    <xf numFmtId="0" fontId="20" fillId="2" borderId="15" xfId="0" applyFont="1" applyFill="1" applyBorder="1" applyAlignment="1">
      <alignment horizontal="center" vertical="center" wrapText="1"/>
    </xf>
    <xf numFmtId="3" fontId="20" fillId="2" borderId="15" xfId="0" applyNumberFormat="1" applyFont="1" applyFill="1" applyBorder="1" applyAlignment="1">
      <alignment horizontal="center" vertical="center" wrapText="1"/>
    </xf>
    <xf numFmtId="4" fontId="20" fillId="2" borderId="15" xfId="0" applyNumberFormat="1" applyFont="1" applyFill="1" applyBorder="1" applyAlignment="1">
      <alignment horizontal="center" vertical="center" wrapText="1"/>
    </xf>
    <xf numFmtId="43" fontId="20" fillId="2" borderId="15" xfId="48" applyFont="1" applyFill="1" applyBorder="1" applyAlignment="1">
      <alignment horizontal="center" vertical="center" wrapText="1"/>
    </xf>
    <xf numFmtId="0" fontId="57" fillId="0" borderId="15" xfId="0" applyFont="1" applyFill="1" applyBorder="1" applyAlignment="1">
      <alignment horizontal="center"/>
    </xf>
    <xf numFmtId="0" fontId="57" fillId="0" borderId="15" xfId="0" applyFont="1" applyFill="1" applyBorder="1" applyAlignment="1"/>
    <xf numFmtId="43" fontId="57" fillId="0" borderId="15" xfId="48" applyFont="1" applyFill="1" applyBorder="1" applyAlignment="1">
      <alignment horizontal="center"/>
    </xf>
    <xf numFmtId="43" fontId="19" fillId="0" borderId="15" xfId="48" applyFont="1" applyFill="1" applyBorder="1" applyAlignment="1">
      <alignment horizontal="center" vertical="center"/>
    </xf>
    <xf numFmtId="0" fontId="9" fillId="0" borderId="15" xfId="0" applyFont="1" applyFill="1" applyBorder="1" applyAlignment="1">
      <alignment horizontal="center"/>
    </xf>
    <xf numFmtId="0" fontId="10" fillId="0" borderId="15" xfId="0" applyFont="1" applyFill="1" applyBorder="1" applyAlignment="1">
      <alignment horizontal="left" wrapText="1"/>
    </xf>
    <xf numFmtId="4" fontId="9" fillId="0" borderId="15" xfId="0" applyNumberFormat="1" applyFont="1" applyFill="1" applyBorder="1" applyAlignment="1">
      <alignment horizontal="center"/>
    </xf>
    <xf numFmtId="3" fontId="9" fillId="0" borderId="15" xfId="0" applyNumberFormat="1" applyFont="1" applyFill="1" applyBorder="1" applyAlignment="1">
      <alignment horizontal="center"/>
    </xf>
    <xf numFmtId="165" fontId="9" fillId="0" borderId="15" xfId="0" applyNumberFormat="1" applyFont="1" applyFill="1" applyBorder="1" applyAlignment="1">
      <alignment horizontal="center"/>
    </xf>
    <xf numFmtId="43" fontId="9" fillId="0" borderId="15" xfId="48" applyFont="1" applyFill="1" applyBorder="1" applyAlignment="1"/>
    <xf numFmtId="0" fontId="7" fillId="0" borderId="15" xfId="0" applyFont="1" applyFill="1" applyBorder="1" applyAlignment="1">
      <alignment horizontal="left" wrapText="1"/>
    </xf>
    <xf numFmtId="3" fontId="9" fillId="0" borderId="15" xfId="4" applyNumberFormat="1" applyFont="1" applyFill="1" applyBorder="1" applyAlignment="1"/>
    <xf numFmtId="165" fontId="9" fillId="0" borderId="15" xfId="4" applyNumberFormat="1" applyFont="1" applyFill="1" applyBorder="1" applyAlignment="1"/>
    <xf numFmtId="43" fontId="8" fillId="0" borderId="15" xfId="48" applyFont="1" applyFill="1" applyBorder="1" applyAlignment="1"/>
    <xf numFmtId="0" fontId="7" fillId="0" borderId="15" xfId="11" applyFont="1" applyFill="1" applyBorder="1" applyAlignment="1">
      <alignment horizontal="center" wrapText="1"/>
    </xf>
    <xf numFmtId="0" fontId="12" fillId="0" borderId="15" xfId="0" applyFont="1" applyFill="1" applyBorder="1" applyAlignment="1">
      <alignment horizontal="left" wrapText="1"/>
    </xf>
    <xf numFmtId="0" fontId="58" fillId="0" borderId="15" xfId="0" applyFont="1" applyFill="1" applyBorder="1" applyAlignment="1">
      <alignment horizontal="center" vertical="center" wrapText="1"/>
    </xf>
    <xf numFmtId="3" fontId="9" fillId="0" borderId="15" xfId="0" applyNumberFormat="1" applyFont="1" applyFill="1" applyBorder="1" applyAlignment="1">
      <alignment wrapText="1"/>
    </xf>
    <xf numFmtId="165" fontId="9" fillId="0" borderId="15" xfId="0" applyNumberFormat="1" applyFont="1" applyFill="1" applyBorder="1" applyAlignment="1">
      <alignment wrapText="1"/>
    </xf>
    <xf numFmtId="43" fontId="9" fillId="0" borderId="15" xfId="48" applyFont="1" applyFill="1" applyBorder="1" applyAlignment="1">
      <alignment wrapText="1"/>
    </xf>
    <xf numFmtId="0" fontId="9" fillId="0" borderId="15" xfId="11" applyFont="1" applyFill="1" applyBorder="1" applyAlignment="1">
      <alignment horizontal="center" wrapText="1"/>
    </xf>
    <xf numFmtId="0" fontId="9" fillId="0" borderId="15" xfId="0" applyFont="1" applyFill="1" applyBorder="1" applyAlignment="1">
      <alignment horizontal="left" wrapText="1"/>
    </xf>
    <xf numFmtId="43" fontId="9" fillId="0" borderId="15" xfId="4" applyFont="1" applyFill="1" applyBorder="1" applyAlignment="1">
      <alignment horizontal="center"/>
    </xf>
    <xf numFmtId="3" fontId="9" fillId="0" borderId="15" xfId="4" applyNumberFormat="1" applyFont="1" applyFill="1" applyBorder="1" applyAlignment="1">
      <alignment horizontal="right"/>
    </xf>
    <xf numFmtId="165" fontId="9" fillId="0" borderId="15" xfId="4" applyNumberFormat="1" applyFont="1" applyFill="1" applyBorder="1" applyAlignment="1">
      <alignment horizontal="right"/>
    </xf>
    <xf numFmtId="43" fontId="9" fillId="0" borderId="15" xfId="48" applyFont="1" applyFill="1" applyBorder="1" applyAlignment="1">
      <alignment horizontal="right"/>
    </xf>
    <xf numFmtId="0" fontId="9" fillId="0" borderId="15" xfId="11" applyFont="1" applyFill="1" applyBorder="1" applyAlignment="1">
      <alignment horizontal="left" wrapText="1"/>
    </xf>
    <xf numFmtId="0" fontId="12" fillId="0" borderId="15" xfId="5" applyFont="1" applyFill="1" applyBorder="1" applyAlignment="1">
      <alignment horizontal="left" wrapText="1"/>
    </xf>
    <xf numFmtId="2" fontId="7" fillId="0" borderId="15" xfId="0" applyNumberFormat="1" applyFont="1" applyFill="1" applyBorder="1" applyAlignment="1">
      <alignment horizontal="center"/>
    </xf>
    <xf numFmtId="4" fontId="7" fillId="0" borderId="15" xfId="0" applyNumberFormat="1" applyFont="1" applyFill="1" applyBorder="1" applyAlignment="1">
      <alignment horizontal="center"/>
    </xf>
    <xf numFmtId="3" fontId="7" fillId="0" borderId="15" xfId="0" applyNumberFormat="1" applyFont="1" applyFill="1" applyBorder="1" applyAlignment="1">
      <alignment horizontal="center"/>
    </xf>
    <xf numFmtId="165" fontId="7" fillId="0" borderId="15" xfId="0" applyNumberFormat="1" applyFont="1" applyFill="1" applyBorder="1" applyAlignment="1">
      <alignment horizontal="center"/>
    </xf>
    <xf numFmtId="43" fontId="7" fillId="0" borderId="15" xfId="48" applyFont="1" applyFill="1" applyBorder="1" applyAlignment="1"/>
    <xf numFmtId="0" fontId="20" fillId="6" borderId="15" xfId="0" applyFont="1" applyFill="1" applyBorder="1" applyAlignment="1">
      <alignment horizontal="center" vertical="center" wrapText="1"/>
    </xf>
    <xf numFmtId="3" fontId="20" fillId="6" borderId="15" xfId="0" applyNumberFormat="1" applyFont="1" applyFill="1" applyBorder="1" applyAlignment="1">
      <alignment horizontal="center" vertical="center" wrapText="1"/>
    </xf>
    <xf numFmtId="4" fontId="20" fillId="6" borderId="15" xfId="0" applyNumberFormat="1" applyFont="1" applyFill="1" applyBorder="1" applyAlignment="1">
      <alignment horizontal="center" vertical="center" wrapText="1"/>
    </xf>
    <xf numFmtId="43" fontId="20" fillId="6" borderId="15" xfId="48" applyFont="1" applyFill="1" applyBorder="1" applyAlignment="1">
      <alignment horizontal="center" vertical="center" wrapText="1"/>
    </xf>
    <xf numFmtId="2" fontId="9" fillId="0" borderId="15" xfId="11" applyNumberFormat="1" applyFont="1" applyFill="1" applyBorder="1" applyAlignment="1">
      <alignment horizontal="center" wrapText="1"/>
    </xf>
    <xf numFmtId="0" fontId="9" fillId="0" borderId="0" xfId="0" applyFont="1" applyFill="1" applyBorder="1" applyAlignment="1">
      <alignment wrapText="1"/>
    </xf>
    <xf numFmtId="0" fontId="59" fillId="0" borderId="15" xfId="0" applyFont="1" applyBorder="1"/>
    <xf numFmtId="0" fontId="59" fillId="0" borderId="15" xfId="0" applyFont="1" applyFill="1" applyBorder="1"/>
    <xf numFmtId="43" fontId="59" fillId="0" borderId="15" xfId="48" applyFont="1" applyBorder="1"/>
    <xf numFmtId="0" fontId="0" fillId="0" borderId="0" xfId="0" applyFill="1"/>
    <xf numFmtId="43" fontId="0" fillId="0" borderId="0" xfId="48" applyFont="1"/>
    <xf numFmtId="0" fontId="7" fillId="0" borderId="0" xfId="0" applyFont="1" applyFill="1" applyBorder="1" applyAlignment="1">
      <alignment wrapText="1"/>
    </xf>
    <xf numFmtId="0" fontId="20" fillId="0" borderId="15" xfId="0" applyFont="1" applyFill="1" applyBorder="1" applyAlignment="1">
      <alignment horizontal="center"/>
    </xf>
    <xf numFmtId="0" fontId="7" fillId="0" borderId="15" xfId="0" applyFont="1" applyFill="1" applyBorder="1" applyAlignment="1">
      <alignment horizontal="center"/>
    </xf>
    <xf numFmtId="0" fontId="20" fillId="0" borderId="15" xfId="9" applyFont="1" applyBorder="1" applyAlignment="1">
      <alignment horizontal="left" indent="1"/>
    </xf>
    <xf numFmtId="0" fontId="19" fillId="0" borderId="15" xfId="9" applyFont="1" applyBorder="1" applyAlignment="1">
      <alignment horizontal="left" wrapText="1"/>
    </xf>
    <xf numFmtId="0" fontId="19" fillId="6" borderId="15" xfId="0" applyFont="1" applyFill="1" applyBorder="1" applyAlignment="1">
      <alignment horizontal="right" vertical="center" wrapText="1"/>
    </xf>
    <xf numFmtId="0" fontId="20" fillId="6" borderId="15" xfId="0" applyFont="1" applyFill="1" applyBorder="1" applyAlignment="1">
      <alignment horizontal="right" vertical="center" wrapText="1"/>
    </xf>
    <xf numFmtId="0" fontId="25" fillId="6" borderId="15" xfId="0" applyFont="1" applyFill="1" applyBorder="1" applyAlignment="1">
      <alignment horizontal="center" vertical="center"/>
    </xf>
    <xf numFmtId="3" fontId="20" fillId="6" borderId="15" xfId="0" applyNumberFormat="1" applyFont="1" applyFill="1" applyBorder="1" applyAlignment="1">
      <alignment horizontal="center" vertical="center"/>
    </xf>
    <xf numFmtId="44" fontId="20" fillId="6" borderId="15" xfId="17" applyFont="1" applyFill="1" applyBorder="1" applyAlignment="1"/>
    <xf numFmtId="0" fontId="24" fillId="0" borderId="15" xfId="0" applyFont="1" applyFill="1" applyBorder="1"/>
    <xf numFmtId="0" fontId="0" fillId="0" borderId="15" xfId="0" applyFont="1" applyBorder="1"/>
    <xf numFmtId="0" fontId="26" fillId="6" borderId="15" xfId="0" applyFont="1" applyFill="1" applyBorder="1" applyAlignment="1">
      <alignment horizontal="left" wrapText="1"/>
    </xf>
    <xf numFmtId="0" fontId="26" fillId="6" borderId="15" xfId="0" applyFont="1" applyFill="1" applyBorder="1" applyAlignment="1">
      <alignment horizontal="center" vertical="center"/>
    </xf>
    <xf numFmtId="3" fontId="19" fillId="6" borderId="15" xfId="0" applyNumberFormat="1" applyFont="1" applyFill="1" applyBorder="1" applyAlignment="1">
      <alignment horizontal="center" vertical="center"/>
    </xf>
    <xf numFmtId="44" fontId="19" fillId="6" borderId="15" xfId="17" applyFont="1" applyFill="1" applyBorder="1" applyAlignment="1"/>
    <xf numFmtId="0" fontId="0" fillId="0" borderId="15" xfId="0" applyFont="1" applyFill="1" applyBorder="1"/>
    <xf numFmtId="171" fontId="19" fillId="6" borderId="15" xfId="0" applyNumberFormat="1" applyFont="1" applyFill="1" applyBorder="1" applyAlignment="1">
      <alignment wrapText="1"/>
    </xf>
    <xf numFmtId="0" fontId="19" fillId="6" borderId="15" xfId="0" applyFont="1" applyFill="1" applyBorder="1"/>
    <xf numFmtId="44" fontId="19" fillId="6" borderId="15" xfId="17" applyFont="1" applyFill="1" applyBorder="1"/>
    <xf numFmtId="170" fontId="19" fillId="6" borderId="15" xfId="0" applyNumberFormat="1" applyFont="1" applyFill="1" applyBorder="1" applyAlignment="1">
      <alignment wrapText="1"/>
    </xf>
    <xf numFmtId="2" fontId="20" fillId="0" borderId="15" xfId="0" applyNumberFormat="1" applyFont="1" applyFill="1" applyBorder="1" applyAlignment="1">
      <alignment horizontal="center"/>
    </xf>
    <xf numFmtId="0" fontId="20" fillId="0" borderId="15" xfId="0" applyFont="1" applyFill="1" applyBorder="1" applyAlignment="1">
      <alignment horizontal="left" vertical="center"/>
    </xf>
    <xf numFmtId="1" fontId="20" fillId="0" borderId="15" xfId="0" applyNumberFormat="1" applyFont="1" applyFill="1" applyBorder="1" applyAlignment="1">
      <alignment horizontal="center" vertical="center"/>
    </xf>
    <xf numFmtId="0" fontId="20" fillId="0" borderId="15" xfId="0" applyFont="1" applyFill="1" applyBorder="1" applyAlignment="1">
      <alignment horizontal="center" vertical="center"/>
    </xf>
    <xf numFmtId="43" fontId="20" fillId="0" borderId="15" xfId="48" applyFont="1" applyFill="1" applyBorder="1" applyAlignment="1">
      <alignment horizontal="right" vertical="center"/>
    </xf>
    <xf numFmtId="3" fontId="20" fillId="0" borderId="15" xfId="0" applyNumberFormat="1" applyFont="1" applyFill="1" applyBorder="1" applyAlignment="1">
      <alignment horizontal="center" vertical="center"/>
    </xf>
    <xf numFmtId="4" fontId="20" fillId="0" borderId="15" xfId="0" applyNumberFormat="1" applyFont="1" applyFill="1" applyBorder="1" applyAlignment="1">
      <alignment horizontal="center" vertical="center"/>
    </xf>
    <xf numFmtId="43" fontId="20" fillId="0" borderId="15" xfId="48" applyFont="1" applyFill="1" applyBorder="1" applyAlignment="1">
      <alignment horizontal="center" vertical="center"/>
    </xf>
    <xf numFmtId="171" fontId="20" fillId="6" borderId="15" xfId="0" applyNumberFormat="1" applyFont="1" applyFill="1" applyBorder="1" applyAlignment="1">
      <alignment wrapText="1"/>
    </xf>
    <xf numFmtId="43" fontId="19" fillId="0" borderId="15" xfId="4" applyFont="1" applyFill="1" applyBorder="1" applyAlignment="1">
      <alignment horizontal="right"/>
    </xf>
    <xf numFmtId="166" fontId="19" fillId="6" borderId="15" xfId="0" applyNumberFormat="1" applyFont="1" applyFill="1" applyBorder="1" applyAlignment="1">
      <alignment wrapText="1"/>
    </xf>
    <xf numFmtId="170" fontId="2" fillId="6" borderId="15" xfId="0" applyNumberFormat="1" applyFont="1" applyFill="1" applyBorder="1" applyAlignment="1">
      <alignment wrapText="1"/>
    </xf>
    <xf numFmtId="0" fontId="2" fillId="0" borderId="15" xfId="0" applyFont="1" applyFill="1" applyBorder="1" applyAlignment="1">
      <alignment horizontal="left" wrapText="1"/>
    </xf>
    <xf numFmtId="0" fontId="2" fillId="6" borderId="15" xfId="0" applyFont="1" applyFill="1" applyBorder="1"/>
    <xf numFmtId="43" fontId="2" fillId="0" borderId="15" xfId="4" applyNumberFormat="1" applyFont="1" applyFill="1" applyBorder="1" applyAlignment="1"/>
    <xf numFmtId="0" fontId="62" fillId="0" borderId="15" xfId="0" applyFont="1" applyBorder="1"/>
    <xf numFmtId="43" fontId="24" fillId="0" borderId="15" xfId="13" applyFont="1" applyFill="1" applyBorder="1"/>
    <xf numFmtId="0" fontId="19" fillId="0" borderId="15" xfId="0" applyFont="1" applyBorder="1" applyAlignment="1">
      <alignment vertical="center"/>
    </xf>
    <xf numFmtId="0" fontId="19" fillId="0" borderId="15" xfId="0" applyFont="1" applyBorder="1"/>
    <xf numFmtId="0" fontId="63" fillId="0" borderId="15" xfId="0" applyFont="1" applyFill="1" applyBorder="1" applyAlignment="1">
      <alignment horizontal="center" wrapText="1"/>
    </xf>
    <xf numFmtId="0" fontId="19" fillId="0" borderId="15" xfId="11" applyFont="1" applyFill="1" applyBorder="1" applyAlignment="1">
      <alignment horizontal="right" vertical="center"/>
    </xf>
    <xf numFmtId="0" fontId="25" fillId="0" borderId="15" xfId="11" applyFont="1" applyFill="1" applyBorder="1" applyAlignment="1">
      <alignment horizontal="left" wrapText="1"/>
    </xf>
    <xf numFmtId="4" fontId="19" fillId="0" borderId="15" xfId="11" applyNumberFormat="1" applyFont="1" applyFill="1" applyBorder="1" applyAlignment="1">
      <alignment horizontal="center"/>
    </xf>
    <xf numFmtId="3" fontId="19" fillId="0" borderId="15" xfId="11" applyNumberFormat="1" applyFont="1" applyFill="1" applyBorder="1" applyAlignment="1">
      <alignment horizontal="center"/>
    </xf>
    <xf numFmtId="165" fontId="19" fillId="0" borderId="15" xfId="11" applyNumberFormat="1" applyFont="1" applyFill="1" applyBorder="1" applyAlignment="1">
      <alignment horizontal="center"/>
    </xf>
    <xf numFmtId="0" fontId="24" fillId="0" borderId="17" xfId="11" applyFont="1" applyFill="1" applyBorder="1" applyAlignment="1">
      <alignment horizontal="right" vertical="center"/>
    </xf>
    <xf numFmtId="0" fontId="24" fillId="0" borderId="18" xfId="11" applyFont="1" applyFill="1" applyBorder="1" applyAlignment="1">
      <alignment wrapText="1"/>
    </xf>
    <xf numFmtId="0" fontId="19" fillId="0" borderId="15" xfId="11" applyFont="1" applyFill="1" applyBorder="1" applyAlignment="1">
      <alignment horizontal="left" wrapText="1"/>
    </xf>
    <xf numFmtId="0" fontId="24" fillId="0" borderId="17" xfId="11" quotePrefix="1" applyFont="1" applyFill="1" applyBorder="1" applyAlignment="1">
      <alignment horizontal="right" vertical="center"/>
    </xf>
    <xf numFmtId="0" fontId="64" fillId="0" borderId="18" xfId="11" applyFont="1" applyFill="1" applyBorder="1" applyAlignment="1">
      <alignment wrapText="1"/>
    </xf>
    <xf numFmtId="0" fontId="65" fillId="0" borderId="18" xfId="11" applyFont="1" applyFill="1" applyBorder="1" applyAlignment="1">
      <alignment wrapText="1"/>
    </xf>
    <xf numFmtId="0" fontId="24" fillId="0" borderId="18" xfId="11" applyFont="1" applyFill="1" applyBorder="1" applyAlignment="1">
      <alignment horizontal="center"/>
    </xf>
    <xf numFmtId="0" fontId="19" fillId="0" borderId="17" xfId="11" applyFont="1" applyFill="1" applyBorder="1" applyAlignment="1">
      <alignment horizontal="right" vertical="center"/>
    </xf>
    <xf numFmtId="0" fontId="19" fillId="0" borderId="18" xfId="11" applyFont="1" applyFill="1" applyBorder="1" applyAlignment="1">
      <alignment wrapText="1"/>
    </xf>
    <xf numFmtId="0" fontId="19" fillId="0" borderId="18" xfId="11" applyFont="1" applyFill="1" applyBorder="1" applyAlignment="1">
      <alignment horizontal="center"/>
    </xf>
    <xf numFmtId="0" fontId="19" fillId="0" borderId="18" xfId="11" applyFont="1" applyFill="1" applyBorder="1" applyAlignment="1">
      <alignment horizontal="right"/>
    </xf>
    <xf numFmtId="0" fontId="6" fillId="3" borderId="15" xfId="0" applyFont="1" applyFill="1" applyBorder="1" applyAlignment="1">
      <alignment horizontal="center" vertical="center" wrapText="1"/>
    </xf>
    <xf numFmtId="3" fontId="7" fillId="3" borderId="15" xfId="0" applyNumberFormat="1" applyFont="1" applyFill="1" applyBorder="1" applyAlignment="1">
      <alignment horizontal="center" vertical="center" wrapText="1"/>
    </xf>
    <xf numFmtId="3" fontId="7" fillId="3" borderId="15" xfId="12" applyNumberFormat="1" applyFont="1" applyFill="1" applyBorder="1" applyAlignment="1">
      <alignment horizontal="center" vertical="center" wrapText="1"/>
    </xf>
    <xf numFmtId="44" fontId="7" fillId="3" borderId="15" xfId="17" applyFont="1" applyFill="1" applyBorder="1" applyAlignment="1">
      <alignment vertical="center" wrapText="1"/>
    </xf>
    <xf numFmtId="0" fontId="59" fillId="0" borderId="0" xfId="0" applyFont="1"/>
    <xf numFmtId="0" fontId="8" fillId="0" borderId="15" xfId="0" applyFont="1" applyBorder="1"/>
    <xf numFmtId="0" fontId="8" fillId="0" borderId="15" xfId="0" applyFont="1" applyFill="1" applyBorder="1" applyAlignment="1">
      <alignment horizontal="center" wrapText="1"/>
    </xf>
    <xf numFmtId="3" fontId="9" fillId="0" borderId="15" xfId="0" applyNumberFormat="1" applyFont="1" applyFill="1" applyBorder="1" applyAlignment="1">
      <alignment horizontal="center" vertical="center"/>
    </xf>
    <xf numFmtId="3" fontId="9" fillId="0" borderId="15" xfId="12" applyNumberFormat="1" applyFont="1" applyFill="1" applyBorder="1" applyAlignment="1">
      <alignment horizontal="center" vertical="center"/>
    </xf>
    <xf numFmtId="44" fontId="9" fillId="0" borderId="15" xfId="17" applyFont="1" applyFill="1" applyBorder="1" applyAlignment="1">
      <alignment vertical="center"/>
    </xf>
    <xf numFmtId="0" fontId="63" fillId="0" borderId="15" xfId="0" applyFont="1" applyFill="1" applyBorder="1" applyAlignment="1">
      <alignment wrapText="1"/>
    </xf>
    <xf numFmtId="44" fontId="63" fillId="0" borderId="15" xfId="17" applyFont="1" applyFill="1" applyBorder="1" applyAlignment="1">
      <alignment wrapText="1"/>
    </xf>
    <xf numFmtId="0" fontId="66" fillId="0" borderId="0" xfId="0" applyFont="1" applyFill="1" applyBorder="1" applyAlignment="1">
      <alignment horizontal="center" vertical="center"/>
    </xf>
    <xf numFmtId="0" fontId="63" fillId="0" borderId="15" xfId="0" applyFont="1" applyFill="1" applyBorder="1" applyAlignment="1">
      <alignment horizontal="left" wrapText="1"/>
    </xf>
    <xf numFmtId="4" fontId="57" fillId="0" borderId="15" xfId="0" applyNumberFormat="1" applyFont="1" applyFill="1" applyBorder="1" applyAlignment="1">
      <alignment horizontal="center"/>
    </xf>
    <xf numFmtId="165" fontId="57" fillId="0" borderId="15" xfId="0" applyNumberFormat="1" applyFont="1" applyFill="1" applyBorder="1" applyAlignment="1">
      <alignment horizontal="center"/>
    </xf>
    <xf numFmtId="44" fontId="57" fillId="0" borderId="15" xfId="17" applyFont="1" applyFill="1" applyBorder="1" applyAlignment="1">
      <alignment horizontal="right"/>
    </xf>
    <xf numFmtId="0" fontId="57" fillId="0" borderId="0" xfId="0" applyFont="1" applyFill="1" applyAlignment="1"/>
    <xf numFmtId="0" fontId="20" fillId="0" borderId="15" xfId="0" applyFont="1" applyBorder="1" applyAlignment="1">
      <alignment horizontal="center" vertical="center"/>
    </xf>
    <xf numFmtId="0" fontId="20" fillId="0" borderId="15" xfId="0" applyFont="1" applyBorder="1" applyAlignment="1">
      <alignment horizontal="center" vertical="center" wrapText="1"/>
    </xf>
    <xf numFmtId="43" fontId="20" fillId="0" borderId="15" xfId="13" applyFont="1" applyBorder="1" applyAlignment="1">
      <alignment horizontal="right" vertical="center"/>
    </xf>
    <xf numFmtId="3" fontId="20" fillId="0" borderId="15" xfId="0" applyNumberFormat="1" applyFont="1" applyBorder="1" applyAlignment="1">
      <alignment horizontal="center" vertical="center"/>
    </xf>
    <xf numFmtId="44" fontId="20" fillId="0" borderId="15" xfId="17" applyFont="1" applyBorder="1" applyAlignment="1">
      <alignment horizontal="center" vertical="center"/>
    </xf>
    <xf numFmtId="44" fontId="9" fillId="0" borderId="15" xfId="17" applyFont="1" applyFill="1" applyBorder="1" applyAlignment="1"/>
    <xf numFmtId="2" fontId="9" fillId="0" borderId="15" xfId="0" applyNumberFormat="1" applyFont="1" applyFill="1" applyBorder="1" applyAlignment="1">
      <alignment horizontal="center"/>
    </xf>
    <xf numFmtId="44" fontId="7" fillId="0" borderId="15" xfId="17" applyFont="1" applyFill="1" applyBorder="1" applyAlignment="1"/>
    <xf numFmtId="3" fontId="7" fillId="6" borderId="15" xfId="0" applyNumberFormat="1" applyFont="1" applyFill="1" applyBorder="1" applyAlignment="1">
      <alignment horizontal="center" vertical="center" wrapText="1"/>
    </xf>
    <xf numFmtId="3" fontId="7" fillId="6" borderId="15" xfId="12" applyNumberFormat="1" applyFont="1" applyFill="1" applyBorder="1" applyAlignment="1">
      <alignment horizontal="center" vertical="center" wrapText="1"/>
    </xf>
    <xf numFmtId="44" fontId="7" fillId="6" borderId="15" xfId="17" applyFont="1" applyFill="1" applyBorder="1" applyAlignment="1">
      <alignment vertical="center" wrapText="1"/>
    </xf>
    <xf numFmtId="0" fontId="59" fillId="6" borderId="0" xfId="0" applyFont="1" applyFill="1"/>
    <xf numFmtId="166" fontId="7" fillId="0" borderId="15" xfId="0" applyNumberFormat="1" applyFont="1" applyFill="1" applyBorder="1" applyAlignment="1">
      <alignment horizontal="center"/>
    </xf>
    <xf numFmtId="0" fontId="1" fillId="0" borderId="0" xfId="0" applyFont="1"/>
    <xf numFmtId="2" fontId="67" fillId="0" borderId="15" xfId="0" applyNumberFormat="1" applyFont="1" applyBorder="1"/>
    <xf numFmtId="4" fontId="9" fillId="0" borderId="15" xfId="0" applyNumberFormat="1" applyFont="1" applyFill="1" applyBorder="1" applyAlignment="1">
      <alignment horizontal="left" wrapText="1"/>
    </xf>
    <xf numFmtId="4" fontId="7" fillId="0" borderId="15" xfId="0" applyNumberFormat="1" applyFont="1" applyFill="1" applyBorder="1" applyAlignment="1">
      <alignment horizontal="left" wrapText="1"/>
    </xf>
    <xf numFmtId="44" fontId="0" fillId="0" borderId="0" xfId="17" applyFont="1"/>
    <xf numFmtId="3" fontId="8" fillId="6" borderId="15" xfId="0" applyNumberFormat="1" applyFont="1" applyFill="1" applyBorder="1" applyAlignment="1">
      <alignment horizontal="center" wrapText="1"/>
    </xf>
    <xf numFmtId="0" fontId="19" fillId="0" borderId="15" xfId="0" applyFont="1" applyFill="1" applyBorder="1" applyAlignment="1">
      <alignment horizontal="center"/>
    </xf>
    <xf numFmtId="166" fontId="19" fillId="0" borderId="15" xfId="0" applyNumberFormat="1" applyFont="1" applyFill="1" applyBorder="1" applyAlignment="1">
      <alignment horizontal="center"/>
    </xf>
    <xf numFmtId="43" fontId="19" fillId="0" borderId="15" xfId="4" applyFont="1" applyFill="1" applyBorder="1" applyAlignment="1">
      <alignment vertical="center"/>
    </xf>
    <xf numFmtId="0" fontId="20" fillId="0" borderId="15" xfId="0" applyFont="1" applyBorder="1" applyAlignment="1">
      <alignment vertical="center" wrapText="1"/>
    </xf>
    <xf numFmtId="166" fontId="19" fillId="0" borderId="15" xfId="0" applyNumberFormat="1" applyFont="1" applyFill="1" applyBorder="1" applyAlignment="1">
      <alignment horizontal="center" vertical="center"/>
    </xf>
    <xf numFmtId="0" fontId="68" fillId="0" borderId="0" xfId="0" applyFont="1"/>
    <xf numFmtId="0" fontId="25" fillId="0" borderId="15" xfId="0" applyFont="1" applyBorder="1" applyAlignment="1">
      <alignment vertical="center" wrapText="1"/>
    </xf>
    <xf numFmtId="0" fontId="19" fillId="0" borderId="15" xfId="0" applyFont="1" applyBorder="1" applyAlignment="1">
      <alignment vertical="center" wrapText="1"/>
    </xf>
    <xf numFmtId="0" fontId="19" fillId="0" borderId="15" xfId="0" applyFont="1" applyBorder="1" applyAlignment="1">
      <alignment horizontal="center" vertical="center" wrapText="1"/>
    </xf>
    <xf numFmtId="166" fontId="19" fillId="0" borderId="15" xfId="0" applyNumberFormat="1" applyFont="1" applyBorder="1" applyAlignment="1">
      <alignment horizontal="center" vertical="center" wrapText="1"/>
    </xf>
    <xf numFmtId="164" fontId="20" fillId="0" borderId="15" xfId="1" applyFont="1" applyFill="1" applyBorder="1" applyAlignment="1">
      <alignment horizontal="center" vertical="center"/>
    </xf>
    <xf numFmtId="166" fontId="20" fillId="2" borderId="15" xfId="0" applyNumberFormat="1" applyFont="1" applyFill="1" applyBorder="1" applyAlignment="1">
      <alignment horizontal="center" vertical="center" wrapText="1"/>
    </xf>
    <xf numFmtId="43" fontId="20" fillId="2" borderId="15" xfId="4" applyFont="1" applyFill="1" applyBorder="1" applyAlignment="1">
      <alignment horizontal="center" vertical="center" wrapText="1"/>
    </xf>
    <xf numFmtId="168" fontId="20" fillId="0" borderId="15" xfId="22" applyNumberFormat="1" applyFont="1" applyFill="1" applyBorder="1" applyAlignment="1" applyProtection="1">
      <alignment horizontal="center" vertical="center" wrapText="1"/>
    </xf>
    <xf numFmtId="2" fontId="20" fillId="0" borderId="15" xfId="0" applyNumberFormat="1" applyFont="1" applyFill="1" applyBorder="1" applyAlignment="1">
      <alignment horizontal="left" vertical="center" wrapText="1"/>
    </xf>
    <xf numFmtId="167" fontId="19" fillId="0" borderId="15" xfId="0" applyNumberFormat="1" applyFont="1" applyFill="1" applyBorder="1" applyAlignment="1">
      <alignment horizontal="center" vertical="center" wrapText="1"/>
    </xf>
    <xf numFmtId="169" fontId="19" fillId="0" borderId="15" xfId="0" applyNumberFormat="1" applyFont="1" applyFill="1" applyBorder="1" applyAlignment="1">
      <alignment vertical="center" wrapText="1"/>
    </xf>
    <xf numFmtId="166" fontId="19" fillId="0" borderId="15" xfId="22" applyNumberFormat="1" applyFont="1" applyFill="1" applyBorder="1" applyAlignment="1" applyProtection="1">
      <alignment horizontal="center" vertical="center" wrapText="1"/>
    </xf>
    <xf numFmtId="167" fontId="19" fillId="0" borderId="15" xfId="22" applyNumberFormat="1" applyFont="1" applyFill="1" applyBorder="1" applyAlignment="1" applyProtection="1">
      <alignment horizontal="center" vertical="center" wrapText="1"/>
    </xf>
    <xf numFmtId="168" fontId="19" fillId="0" borderId="15" xfId="22" applyNumberFormat="1" applyFont="1" applyFill="1" applyBorder="1" applyAlignment="1" applyProtection="1">
      <alignment horizontal="center" vertical="center" wrapText="1"/>
    </xf>
    <xf numFmtId="2" fontId="19" fillId="0" borderId="15" xfId="0" applyNumberFormat="1" applyFont="1" applyFill="1" applyBorder="1" applyAlignment="1">
      <alignment horizontal="left" vertical="center" wrapText="1"/>
    </xf>
    <xf numFmtId="167" fontId="20" fillId="0" borderId="15" xfId="0" applyNumberFormat="1" applyFont="1" applyFill="1" applyBorder="1" applyAlignment="1">
      <alignment horizontal="center" vertical="center" wrapText="1"/>
    </xf>
    <xf numFmtId="169" fontId="20" fillId="0" borderId="15" xfId="0" applyNumberFormat="1" applyFont="1" applyFill="1" applyBorder="1" applyAlignment="1">
      <alignment vertical="center" wrapText="1"/>
    </xf>
    <xf numFmtId="166" fontId="20" fillId="0" borderId="15" xfId="22" applyNumberFormat="1" applyFont="1" applyFill="1" applyBorder="1" applyAlignment="1" applyProtection="1">
      <alignment horizontal="center" vertical="center" wrapText="1"/>
    </xf>
    <xf numFmtId="167" fontId="20" fillId="0" borderId="15" xfId="22" applyNumberFormat="1" applyFont="1" applyFill="1" applyBorder="1" applyAlignment="1" applyProtection="1">
      <alignment horizontal="center" vertical="center" wrapText="1"/>
    </xf>
    <xf numFmtId="0" fontId="19" fillId="0" borderId="15" xfId="24" applyFont="1" applyFill="1" applyBorder="1" applyAlignment="1">
      <alignment horizontal="center" vertical="center"/>
    </xf>
    <xf numFmtId="0" fontId="19" fillId="0" borderId="15" xfId="24" applyFont="1" applyBorder="1" applyAlignment="1">
      <alignment horizontal="left" vertical="center" wrapText="1"/>
    </xf>
    <xf numFmtId="166" fontId="19" fillId="0" borderId="15" xfId="24" applyNumberFormat="1" applyFont="1" applyFill="1" applyBorder="1" applyAlignment="1">
      <alignment horizontal="right" vertical="center"/>
    </xf>
    <xf numFmtId="43" fontId="19" fillId="0" borderId="15" xfId="25" applyFont="1" applyFill="1" applyBorder="1" applyAlignment="1">
      <alignment horizontal="right" vertical="center"/>
    </xf>
    <xf numFmtId="166" fontId="20" fillId="0" borderId="15" xfId="0" applyNumberFormat="1" applyFont="1" applyFill="1" applyBorder="1" applyAlignment="1">
      <alignment horizontal="center" vertical="center"/>
    </xf>
    <xf numFmtId="4" fontId="19" fillId="0" borderId="15" xfId="0" applyNumberFormat="1" applyFont="1" applyFill="1" applyBorder="1" applyAlignment="1"/>
    <xf numFmtId="4" fontId="19" fillId="0" borderId="15" xfId="0" applyNumberFormat="1" applyFont="1" applyFill="1" applyBorder="1" applyAlignment="1">
      <alignment wrapText="1"/>
    </xf>
    <xf numFmtId="4" fontId="20" fillId="0" borderId="15" xfId="0" applyNumberFormat="1" applyFont="1" applyFill="1" applyBorder="1" applyAlignment="1"/>
    <xf numFmtId="4" fontId="20" fillId="0" borderId="15" xfId="0" applyNumberFormat="1" applyFont="1" applyFill="1" applyBorder="1" applyAlignment="1">
      <alignment wrapText="1"/>
    </xf>
    <xf numFmtId="166" fontId="20" fillId="0" borderId="15" xfId="0" applyNumberFormat="1" applyFont="1" applyFill="1" applyBorder="1" applyAlignment="1">
      <alignment horizontal="center"/>
    </xf>
    <xf numFmtId="43" fontId="20" fillId="0" borderId="15" xfId="4" applyFont="1" applyFill="1" applyBorder="1" applyAlignment="1">
      <alignment horizontal="right" vertical="center"/>
    </xf>
    <xf numFmtId="4" fontId="19" fillId="0" borderId="0" xfId="0" applyNumberFormat="1" applyFont="1" applyFill="1" applyAlignment="1"/>
    <xf numFmtId="0" fontId="19" fillId="0" borderId="0" xfId="0" applyFont="1" applyFill="1" applyAlignment="1"/>
    <xf numFmtId="0" fontId="19" fillId="0" borderId="0" xfId="0" applyFont="1" applyFill="1" applyAlignment="1">
      <alignment horizontal="center"/>
    </xf>
    <xf numFmtId="4" fontId="19" fillId="0" borderId="0" xfId="0" applyNumberFormat="1" applyFont="1" applyFill="1" applyBorder="1" applyAlignment="1">
      <alignment horizontal="center"/>
    </xf>
    <xf numFmtId="3" fontId="19" fillId="0" borderId="0" xfId="0" applyNumberFormat="1" applyFont="1" applyFill="1" applyBorder="1" applyAlignment="1">
      <alignment horizontal="center"/>
    </xf>
    <xf numFmtId="4" fontId="19" fillId="0" borderId="0" xfId="0" applyNumberFormat="1" applyFont="1" applyFill="1" applyAlignment="1">
      <alignment horizontal="center"/>
    </xf>
    <xf numFmtId="3" fontId="19" fillId="0" borderId="0" xfId="0" applyNumberFormat="1" applyFont="1" applyFill="1" applyAlignment="1">
      <alignment horizontal="center"/>
    </xf>
    <xf numFmtId="0" fontId="19" fillId="4" borderId="0" xfId="0" applyFont="1" applyFill="1" applyAlignment="1"/>
    <xf numFmtId="0" fontId="19" fillId="4" borderId="0" xfId="0" applyFont="1" applyFill="1"/>
    <xf numFmtId="165" fontId="19" fillId="4" borderId="0" xfId="0" applyNumberFormat="1" applyFont="1" applyFill="1" applyBorder="1" applyAlignment="1">
      <alignment horizontal="center"/>
    </xf>
    <xf numFmtId="0" fontId="2" fillId="4" borderId="0" xfId="0" applyFont="1" applyFill="1" applyBorder="1" applyAlignment="1"/>
    <xf numFmtId="0" fontId="2" fillId="4" borderId="0" xfId="0" applyFont="1" applyFill="1" applyAlignment="1"/>
    <xf numFmtId="0" fontId="20" fillId="4" borderId="0" xfId="0" applyFont="1" applyFill="1" applyAlignment="1"/>
    <xf numFmtId="0" fontId="8" fillId="6" borderId="22" xfId="0" applyFont="1" applyFill="1" applyBorder="1" applyAlignment="1"/>
    <xf numFmtId="0" fontId="7" fillId="6" borderId="22" xfId="0" applyFont="1" applyFill="1" applyBorder="1" applyAlignment="1">
      <alignment horizontal="center"/>
    </xf>
    <xf numFmtId="0" fontId="10" fillId="6" borderId="22" xfId="0" applyFont="1" applyFill="1" applyBorder="1" applyAlignment="1">
      <alignment horizontal="left" wrapText="1"/>
    </xf>
    <xf numFmtId="3" fontId="8" fillId="6" borderId="22" xfId="0" applyNumberFormat="1" applyFont="1" applyFill="1" applyBorder="1" applyAlignment="1"/>
    <xf numFmtId="165" fontId="9" fillId="6" borderId="22" xfId="0" applyNumberFormat="1" applyFont="1" applyFill="1" applyBorder="1" applyAlignment="1">
      <alignment horizontal="center"/>
    </xf>
    <xf numFmtId="43" fontId="8" fillId="6" borderId="22" xfId="22" applyFont="1" applyFill="1" applyBorder="1" applyAlignment="1"/>
    <xf numFmtId="0" fontId="8" fillId="6" borderId="22" xfId="0" applyFont="1" applyFill="1" applyBorder="1" applyAlignment="1">
      <alignment wrapText="1"/>
    </xf>
    <xf numFmtId="0" fontId="6" fillId="6" borderId="22" xfId="0" applyFont="1" applyFill="1" applyBorder="1" applyAlignment="1">
      <alignment wrapText="1"/>
    </xf>
    <xf numFmtId="0" fontId="9" fillId="6" borderId="22" xfId="0" applyFont="1" applyFill="1" applyBorder="1" applyAlignment="1">
      <alignment horizontal="left" wrapText="1"/>
    </xf>
    <xf numFmtId="0" fontId="9" fillId="6" borderId="22" xfId="0" applyFont="1" applyFill="1" applyBorder="1" applyAlignment="1">
      <alignment horizontal="center"/>
    </xf>
    <xf numFmtId="0" fontId="6" fillId="6" borderId="22" xfId="0" applyFont="1" applyFill="1" applyBorder="1" applyAlignment="1">
      <alignment horizontal="center" vertical="center"/>
    </xf>
    <xf numFmtId="3" fontId="7" fillId="6" borderId="22" xfId="12" applyNumberFormat="1" applyFont="1" applyFill="1" applyBorder="1" applyAlignment="1">
      <alignment horizontal="center" vertical="center" wrapText="1"/>
    </xf>
    <xf numFmtId="165" fontId="7" fillId="6" borderId="22" xfId="12" applyNumberFormat="1" applyFont="1" applyFill="1" applyBorder="1" applyAlignment="1">
      <alignment horizontal="center" vertical="center" wrapText="1"/>
    </xf>
    <xf numFmtId="43" fontId="7" fillId="6" borderId="22" xfId="22" applyFont="1" applyFill="1" applyBorder="1" applyAlignment="1">
      <alignment horizontal="center" vertical="center" wrapText="1"/>
    </xf>
    <xf numFmtId="0" fontId="12" fillId="6" borderId="22" xfId="0" applyFont="1" applyFill="1" applyBorder="1" applyAlignment="1">
      <alignment horizontal="left" wrapText="1"/>
    </xf>
    <xf numFmtId="4" fontId="9" fillId="6" borderId="22" xfId="0" applyNumberFormat="1" applyFont="1" applyFill="1" applyBorder="1" applyAlignment="1">
      <alignment horizontal="center"/>
    </xf>
    <xf numFmtId="0" fontId="8" fillId="6" borderId="22" xfId="0" applyFont="1" applyFill="1" applyBorder="1" applyAlignment="1">
      <alignment horizontal="center" vertical="center"/>
    </xf>
    <xf numFmtId="0" fontId="7" fillId="6" borderId="22" xfId="0" applyFont="1" applyFill="1" applyBorder="1" applyAlignment="1">
      <alignment horizontal="left" wrapText="1"/>
    </xf>
    <xf numFmtId="4" fontId="7" fillId="6" borderId="22" xfId="0" applyNumberFormat="1" applyFont="1" applyFill="1" applyBorder="1" applyAlignment="1">
      <alignment horizontal="center"/>
    </xf>
    <xf numFmtId="3" fontId="6" fillId="6" borderId="22" xfId="0" applyNumberFormat="1" applyFont="1" applyFill="1" applyBorder="1" applyAlignment="1"/>
    <xf numFmtId="165" fontId="7" fillId="6" borderId="22" xfId="0" applyNumberFormat="1" applyFont="1" applyFill="1" applyBorder="1" applyAlignment="1">
      <alignment horizontal="center"/>
    </xf>
    <xf numFmtId="43" fontId="6" fillId="6" borderId="22" xfId="22" applyFont="1" applyFill="1" applyBorder="1" applyAlignment="1"/>
    <xf numFmtId="0" fontId="6" fillId="6" borderId="22" xfId="0" applyFont="1" applyFill="1" applyBorder="1" applyAlignment="1"/>
    <xf numFmtId="43" fontId="7" fillId="6" borderId="22" xfId="22" applyFont="1" applyFill="1" applyBorder="1" applyAlignment="1"/>
    <xf numFmtId="3" fontId="9" fillId="6" borderId="22" xfId="0" applyNumberFormat="1" applyFont="1" applyFill="1" applyBorder="1" applyAlignment="1">
      <alignment horizontal="center"/>
    </xf>
    <xf numFmtId="165" fontId="9" fillId="6" borderId="22" xfId="0" applyNumberFormat="1" applyFont="1" applyFill="1" applyBorder="1" applyAlignment="1"/>
    <xf numFmtId="0" fontId="30" fillId="6" borderId="22" xfId="0" applyFont="1" applyFill="1" applyBorder="1" applyAlignment="1">
      <alignment vertical="top" wrapText="1"/>
    </xf>
    <xf numFmtId="43" fontId="30" fillId="6" borderId="22" xfId="22" applyFont="1" applyFill="1" applyBorder="1" applyAlignment="1">
      <alignment vertical="top" wrapText="1"/>
    </xf>
    <xf numFmtId="0" fontId="29" fillId="6" borderId="22" xfId="0" applyFont="1" applyFill="1" applyBorder="1" applyAlignment="1">
      <alignment vertical="top" wrapText="1"/>
    </xf>
    <xf numFmtId="43" fontId="29" fillId="6" borderId="22" xfId="22" applyFont="1" applyFill="1" applyBorder="1" applyAlignment="1">
      <alignment vertical="top" wrapText="1"/>
    </xf>
    <xf numFmtId="43" fontId="9" fillId="6" borderId="22" xfId="22" applyFont="1" applyFill="1" applyBorder="1" applyAlignment="1"/>
    <xf numFmtId="3" fontId="7" fillId="6" borderId="22" xfId="0" applyNumberFormat="1" applyFont="1" applyFill="1" applyBorder="1" applyAlignment="1">
      <alignment horizontal="center"/>
    </xf>
    <xf numFmtId="3" fontId="12" fillId="6" borderId="22" xfId="0" applyNumberFormat="1" applyFont="1" applyFill="1" applyBorder="1" applyAlignment="1">
      <alignment horizontal="left" wrapText="1"/>
    </xf>
    <xf numFmtId="0" fontId="19" fillId="6" borderId="22" xfId="0" applyFont="1" applyFill="1" applyBorder="1" applyAlignment="1">
      <alignment horizontal="right" vertical="center"/>
    </xf>
    <xf numFmtId="0" fontId="19" fillId="6" borderId="22" xfId="0" applyFont="1" applyFill="1" applyBorder="1" applyAlignment="1">
      <alignment horizontal="left" wrapText="1"/>
    </xf>
    <xf numFmtId="3" fontId="19" fillId="6" borderId="22" xfId="0" applyNumberFormat="1" applyFont="1" applyFill="1" applyBorder="1" applyAlignment="1">
      <alignment horizontal="center"/>
    </xf>
    <xf numFmtId="165" fontId="19" fillId="6" borderId="22" xfId="0" applyNumberFormat="1" applyFont="1" applyFill="1" applyBorder="1" applyAlignment="1">
      <alignment horizontal="center"/>
    </xf>
    <xf numFmtId="43" fontId="19" fillId="6" borderId="22" xfId="4" applyNumberFormat="1" applyFont="1" applyFill="1" applyBorder="1" applyAlignment="1"/>
    <xf numFmtId="43" fontId="6" fillId="6" borderId="22" xfId="0" applyNumberFormat="1" applyFont="1" applyFill="1" applyBorder="1" applyAlignment="1"/>
    <xf numFmtId="0" fontId="20" fillId="0" borderId="22" xfId="9" applyFont="1" applyBorder="1" applyAlignment="1">
      <alignment horizontal="left" indent="1"/>
    </xf>
    <xf numFmtId="0" fontId="19" fillId="0" borderId="22" xfId="0" applyFont="1" applyBorder="1" applyAlignment="1">
      <alignment horizontal="left" wrapText="1"/>
    </xf>
    <xf numFmtId="0" fontId="19" fillId="0" borderId="22" xfId="0" applyFont="1" applyBorder="1" applyAlignment="1">
      <alignment horizontal="center"/>
    </xf>
    <xf numFmtId="44" fontId="20" fillId="3" borderId="9" xfId="29" applyFont="1" applyFill="1" applyBorder="1" applyAlignment="1">
      <alignment horizontal="center" vertical="center"/>
    </xf>
    <xf numFmtId="44" fontId="19" fillId="0" borderId="9" xfId="29" applyFont="1" applyBorder="1" applyAlignment="1">
      <alignment horizontal="center"/>
    </xf>
    <xf numFmtId="44" fontId="19" fillId="0" borderId="9" xfId="29" applyFont="1" applyBorder="1" applyAlignment="1">
      <alignment horizontal="left"/>
    </xf>
    <xf numFmtId="44" fontId="19" fillId="0" borderId="15" xfId="29" applyFont="1" applyBorder="1" applyAlignment="1">
      <alignment horizontal="left"/>
    </xf>
    <xf numFmtId="44" fontId="19" fillId="0" borderId="22" xfId="29" applyFont="1" applyBorder="1" applyAlignment="1">
      <alignment horizontal="left"/>
    </xf>
    <xf numFmtId="44" fontId="20" fillId="0" borderId="9" xfId="29" applyFont="1" applyBorder="1" applyAlignment="1">
      <alignment horizontal="center"/>
    </xf>
    <xf numFmtId="44" fontId="19" fillId="0" borderId="22" xfId="29" applyFont="1" applyBorder="1" applyAlignment="1">
      <alignment horizontal="center"/>
    </xf>
    <xf numFmtId="44" fontId="19" fillId="0" borderId="9" xfId="29" applyFont="1" applyBorder="1"/>
    <xf numFmtId="44" fontId="19" fillId="0" borderId="0" xfId="29" applyFont="1" applyBorder="1" applyAlignment="1">
      <alignment horizontal="center"/>
    </xf>
    <xf numFmtId="44" fontId="20" fillId="0" borderId="22" xfId="29" applyFont="1" applyBorder="1" applyAlignment="1">
      <alignment horizontal="center"/>
    </xf>
    <xf numFmtId="0" fontId="20" fillId="6" borderId="22" xfId="0" applyFont="1" applyFill="1" applyBorder="1" applyAlignment="1">
      <alignment horizontal="right" vertical="center"/>
    </xf>
    <xf numFmtId="0" fontId="20" fillId="6" borderId="22" xfId="0" applyFont="1" applyFill="1" applyBorder="1" applyAlignment="1">
      <alignment horizontal="left" wrapText="1"/>
    </xf>
    <xf numFmtId="0" fontId="34" fillId="6" borderId="22" xfId="0" applyFont="1" applyFill="1" applyBorder="1" applyAlignment="1">
      <alignment horizontal="center"/>
    </xf>
    <xf numFmtId="165" fontId="69" fillId="6" borderId="22" xfId="0" applyNumberFormat="1" applyFont="1" applyFill="1" applyBorder="1" applyAlignment="1">
      <alignment horizontal="center" vertical="center"/>
    </xf>
    <xf numFmtId="0" fontId="29" fillId="6" borderId="22" xfId="0" applyFont="1" applyFill="1" applyBorder="1" applyAlignment="1">
      <alignment vertical="center" wrapText="1"/>
    </xf>
    <xf numFmtId="4" fontId="20" fillId="6" borderId="22" xfId="0" applyNumberFormat="1" applyFont="1" applyFill="1" applyBorder="1" applyAlignment="1">
      <alignment horizontal="center"/>
    </xf>
    <xf numFmtId="165" fontId="20" fillId="6" borderId="22" xfId="0" applyNumberFormat="1" applyFont="1" applyFill="1" applyBorder="1" applyAlignment="1">
      <alignment horizontal="center" vertical="center"/>
    </xf>
    <xf numFmtId="0" fontId="19" fillId="6" borderId="23" xfId="0" applyFont="1" applyFill="1" applyBorder="1" applyAlignment="1">
      <alignment horizontal="center"/>
    </xf>
    <xf numFmtId="0" fontId="26" fillId="6" borderId="23" xfId="0" applyFont="1" applyFill="1" applyBorder="1" applyAlignment="1">
      <alignment horizontal="left" wrapText="1"/>
    </xf>
    <xf numFmtId="4" fontId="19" fillId="6" borderId="23" xfId="0" applyNumberFormat="1" applyFont="1" applyFill="1" applyBorder="1" applyAlignment="1">
      <alignment horizontal="center"/>
    </xf>
    <xf numFmtId="0" fontId="19" fillId="6" borderId="0" xfId="0" applyFont="1" applyFill="1" applyAlignment="1"/>
    <xf numFmtId="0" fontId="25" fillId="6" borderId="23" xfId="0" applyFont="1" applyFill="1" applyBorder="1" applyAlignment="1">
      <alignment horizontal="left" wrapText="1"/>
    </xf>
    <xf numFmtId="165" fontId="19" fillId="6" borderId="0" xfId="0" applyNumberFormat="1" applyFont="1" applyFill="1" applyBorder="1" applyAlignment="1">
      <alignment horizontal="center"/>
    </xf>
    <xf numFmtId="0" fontId="19" fillId="6" borderId="23" xfId="0" applyFont="1" applyFill="1" applyBorder="1" applyAlignment="1">
      <alignment horizontal="left" wrapText="1"/>
    </xf>
    <xf numFmtId="4" fontId="19" fillId="6" borderId="22" xfId="0" applyNumberFormat="1" applyFont="1" applyFill="1" applyBorder="1" applyAlignment="1">
      <alignment horizontal="center"/>
    </xf>
    <xf numFmtId="0" fontId="26" fillId="6" borderId="22" xfId="0" applyFont="1" applyFill="1" applyBorder="1" applyAlignment="1">
      <alignment horizontal="left" wrapText="1"/>
    </xf>
    <xf numFmtId="0" fontId="20" fillId="6" borderId="21" xfId="0" applyFont="1" applyFill="1" applyBorder="1" applyAlignment="1">
      <alignment horizontal="left" wrapText="1"/>
    </xf>
    <xf numFmtId="0" fontId="20" fillId="6" borderId="2" xfId="0" applyFont="1" applyFill="1" applyBorder="1" applyAlignment="1">
      <alignment horizontal="right" vertical="center"/>
    </xf>
    <xf numFmtId="0" fontId="2" fillId="6" borderId="0" xfId="0" applyFont="1" applyFill="1" applyBorder="1" applyAlignment="1"/>
    <xf numFmtId="0" fontId="2" fillId="6" borderId="23" xfId="0" applyFont="1" applyFill="1" applyBorder="1" applyAlignment="1">
      <alignment horizontal="center"/>
    </xf>
    <xf numFmtId="4" fontId="2" fillId="6" borderId="23" xfId="0" applyNumberFormat="1" applyFont="1" applyFill="1" applyBorder="1" applyAlignment="1">
      <alignment horizontal="center"/>
    </xf>
    <xf numFmtId="0" fontId="2" fillId="6" borderId="0" xfId="0" applyFont="1" applyFill="1" applyAlignment="1"/>
    <xf numFmtId="0" fontId="20" fillId="6" borderId="23" xfId="0" applyFont="1" applyFill="1" applyBorder="1" applyAlignment="1">
      <alignment horizontal="left" wrapText="1"/>
    </xf>
    <xf numFmtId="4" fontId="20" fillId="6" borderId="23" xfId="0" applyNumberFormat="1" applyFont="1" applyFill="1" applyBorder="1" applyAlignment="1">
      <alignment horizontal="center"/>
    </xf>
    <xf numFmtId="0" fontId="20" fillId="6" borderId="0" xfId="0" applyFont="1" applyFill="1" applyAlignment="1"/>
    <xf numFmtId="4" fontId="20" fillId="6" borderId="21" xfId="0" applyNumberFormat="1" applyFont="1" applyFill="1" applyBorder="1" applyAlignment="1">
      <alignment horizontal="center"/>
    </xf>
    <xf numFmtId="0" fontId="20" fillId="6" borderId="23" xfId="0" applyFont="1" applyFill="1" applyBorder="1" applyAlignment="1">
      <alignment horizontal="center"/>
    </xf>
    <xf numFmtId="165" fontId="19" fillId="6" borderId="25" xfId="0" applyNumberFormat="1" applyFont="1" applyFill="1" applyBorder="1" applyAlignment="1">
      <alignment horizontal="center"/>
    </xf>
    <xf numFmtId="0" fontId="27" fillId="6" borderId="4" xfId="0" applyFont="1" applyFill="1" applyBorder="1" applyAlignment="1">
      <alignment horizontal="right"/>
    </xf>
    <xf numFmtId="0" fontId="27" fillId="6" borderId="4" xfId="0" applyFont="1" applyFill="1" applyBorder="1" applyAlignment="1">
      <alignment horizontal="left" wrapText="1"/>
    </xf>
    <xf numFmtId="0" fontId="27" fillId="6" borderId="4" xfId="0" applyFont="1" applyFill="1" applyBorder="1" applyAlignment="1">
      <alignment horizontal="center"/>
    </xf>
    <xf numFmtId="3" fontId="19" fillId="6" borderId="4" xfId="0" applyNumberFormat="1" applyFont="1" applyFill="1" applyBorder="1" applyAlignment="1">
      <alignment horizontal="center"/>
    </xf>
    <xf numFmtId="165" fontId="9" fillId="6" borderId="4" xfId="0" applyNumberFormat="1" applyFont="1" applyFill="1" applyBorder="1" applyAlignment="1">
      <alignment horizontal="center"/>
    </xf>
    <xf numFmtId="43" fontId="9" fillId="6" borderId="4" xfId="22" applyFont="1" applyFill="1" applyBorder="1" applyAlignment="1"/>
    <xf numFmtId="0" fontId="6" fillId="6" borderId="22" xfId="0" applyFont="1" applyFill="1" applyBorder="1" applyAlignment="1">
      <alignment horizontal="right" vertical="center"/>
    </xf>
    <xf numFmtId="0" fontId="6" fillId="6" borderId="22" xfId="0" applyFont="1" applyFill="1" applyBorder="1" applyAlignment="1">
      <alignment horizontal="center" vertical="center" wrapText="1"/>
    </xf>
    <xf numFmtId="0" fontId="8" fillId="6" borderId="22" xfId="0" applyFont="1" applyFill="1" applyBorder="1" applyAlignment="1">
      <alignment horizontal="right" vertical="center"/>
    </xf>
    <xf numFmtId="0" fontId="10" fillId="6" borderId="22" xfId="0" applyFont="1" applyFill="1" applyBorder="1" applyAlignment="1">
      <alignment horizontal="center" vertical="center"/>
    </xf>
    <xf numFmtId="3" fontId="9" fillId="6" borderId="22" xfId="0" applyNumberFormat="1" applyFont="1" applyFill="1" applyBorder="1" applyAlignment="1">
      <alignment horizontal="center" vertical="center"/>
    </xf>
    <xf numFmtId="0" fontId="20" fillId="6" borderId="22" xfId="0" applyFont="1" applyFill="1" applyBorder="1" applyAlignment="1">
      <alignment horizontal="right"/>
    </xf>
    <xf numFmtId="0" fontId="25" fillId="6" borderId="22" xfId="0" applyFont="1" applyFill="1" applyBorder="1" applyAlignment="1">
      <alignment horizontal="left" wrapText="1"/>
    </xf>
    <xf numFmtId="43" fontId="19" fillId="6" borderId="22" xfId="22" applyFont="1" applyFill="1" applyBorder="1" applyAlignment="1"/>
    <xf numFmtId="0" fontId="7" fillId="6" borderId="22" xfId="0" applyFont="1" applyFill="1" applyBorder="1" applyAlignment="1">
      <alignment horizontal="right"/>
    </xf>
    <xf numFmtId="0" fontId="9" fillId="6" borderId="22" xfId="0" applyFont="1" applyFill="1" applyBorder="1" applyAlignment="1">
      <alignment horizontal="right"/>
    </xf>
    <xf numFmtId="0" fontId="19" fillId="6" borderId="22" xfId="0" applyFont="1" applyFill="1" applyBorder="1" applyAlignment="1">
      <alignment horizontal="right"/>
    </xf>
    <xf numFmtId="43" fontId="19" fillId="6" borderId="22" xfId="22" applyFont="1" applyFill="1" applyBorder="1" applyAlignment="1">
      <alignment horizontal="right"/>
    </xf>
    <xf numFmtId="0" fontId="8" fillId="6" borderId="22" xfId="0" applyFont="1" applyFill="1" applyBorder="1" applyAlignment="1">
      <alignment horizontal="right"/>
    </xf>
    <xf numFmtId="0" fontId="19" fillId="6" borderId="22" xfId="0" applyFont="1" applyFill="1" applyBorder="1" applyAlignment="1">
      <alignment horizontal="center"/>
    </xf>
    <xf numFmtId="43" fontId="19" fillId="6" borderId="22" xfId="4" applyFont="1" applyFill="1" applyBorder="1" applyAlignment="1">
      <alignment horizontal="right"/>
    </xf>
    <xf numFmtId="43" fontId="20" fillId="6" borderId="22" xfId="48" applyFont="1" applyFill="1" applyBorder="1" applyAlignment="1"/>
    <xf numFmtId="0" fontId="2" fillId="6" borderId="22" xfId="0" applyFont="1" applyFill="1" applyBorder="1" applyAlignment="1">
      <alignment horizontal="center"/>
    </xf>
    <xf numFmtId="0" fontId="0" fillId="6" borderId="22" xfId="0" applyFont="1" applyFill="1" applyBorder="1" applyAlignment="1">
      <alignment horizontal="left" wrapText="1"/>
    </xf>
    <xf numFmtId="4" fontId="2" fillId="6" borderId="22" xfId="0" applyNumberFormat="1" applyFont="1" applyFill="1" applyBorder="1" applyAlignment="1">
      <alignment horizontal="center"/>
    </xf>
    <xf numFmtId="43" fontId="2" fillId="6" borderId="22" xfId="4" applyFont="1" applyFill="1" applyBorder="1" applyAlignment="1">
      <alignment horizontal="right"/>
    </xf>
    <xf numFmtId="165" fontId="20" fillId="6" borderId="22" xfId="0" applyNumberFormat="1" applyFont="1" applyFill="1" applyBorder="1" applyAlignment="1">
      <alignment horizontal="center"/>
    </xf>
    <xf numFmtId="43" fontId="20" fillId="6" borderId="22" xfId="4" applyFont="1" applyFill="1" applyBorder="1" applyAlignment="1">
      <alignment horizontal="right"/>
    </xf>
    <xf numFmtId="0" fontId="20" fillId="6" borderId="22" xfId="0" applyFont="1" applyFill="1" applyBorder="1" applyAlignment="1">
      <alignment horizontal="center"/>
    </xf>
    <xf numFmtId="0" fontId="26" fillId="6" borderId="22" xfId="5" applyFont="1" applyFill="1" applyBorder="1" applyAlignment="1">
      <alignment horizontal="left" wrapText="1"/>
    </xf>
    <xf numFmtId="1" fontId="22" fillId="6" borderId="22" xfId="0" applyNumberFormat="1" applyFont="1" applyFill="1" applyBorder="1" applyAlignment="1">
      <alignment horizontal="center" vertical="top" wrapText="1"/>
    </xf>
    <xf numFmtId="0" fontId="31" fillId="6" borderId="22" xfId="0" applyNumberFormat="1" applyFont="1" applyFill="1" applyBorder="1" applyAlignment="1">
      <alignment horizontal="right" vertical="top" wrapText="1"/>
    </xf>
    <xf numFmtId="0" fontId="31" fillId="6" borderId="22" xfId="0" applyNumberFormat="1" applyFont="1" applyFill="1" applyBorder="1" applyAlignment="1">
      <alignment vertical="top" wrapText="1"/>
    </xf>
    <xf numFmtId="0" fontId="31" fillId="6" borderId="22" xfId="0" applyNumberFormat="1" applyFont="1" applyFill="1" applyBorder="1" applyAlignment="1">
      <alignment horizontal="center" vertical="top" wrapText="1"/>
    </xf>
    <xf numFmtId="1" fontId="31" fillId="6" borderId="22" xfId="0" applyNumberFormat="1" applyFont="1" applyFill="1" applyBorder="1" applyAlignment="1">
      <alignment horizontal="right" vertical="top" wrapText="1"/>
    </xf>
    <xf numFmtId="43" fontId="31" fillId="6" borderId="22" xfId="22" applyFont="1" applyFill="1" applyBorder="1" applyAlignment="1">
      <alignment horizontal="right" vertical="top" wrapText="1"/>
    </xf>
    <xf numFmtId="0" fontId="51" fillId="6" borderId="22" xfId="0" applyNumberFormat="1" applyFont="1" applyFill="1" applyBorder="1" applyAlignment="1">
      <alignment vertical="top" wrapText="1"/>
    </xf>
    <xf numFmtId="0" fontId="32" fillId="6" borderId="22" xfId="0" applyNumberFormat="1" applyFont="1" applyFill="1" applyBorder="1" applyAlignment="1">
      <alignment horizontal="center" vertical="top" wrapText="1"/>
    </xf>
    <xf numFmtId="1" fontId="32" fillId="6" borderId="22" xfId="0" applyNumberFormat="1" applyFont="1" applyFill="1" applyBorder="1" applyAlignment="1">
      <alignment horizontal="right" vertical="top" wrapText="1"/>
    </xf>
    <xf numFmtId="43" fontId="32" fillId="6" borderId="22" xfId="22" applyFont="1" applyFill="1" applyBorder="1" applyAlignment="1">
      <alignment horizontal="right" vertical="top" wrapText="1"/>
    </xf>
    <xf numFmtId="0" fontId="32" fillId="6" borderId="22" xfId="0" applyFont="1" applyFill="1" applyBorder="1" applyAlignment="1">
      <alignment horizontal="right" wrapText="1"/>
    </xf>
    <xf numFmtId="0" fontId="31" fillId="6" borderId="22" xfId="0" applyFont="1" applyFill="1" applyBorder="1" applyAlignment="1">
      <alignment wrapText="1"/>
    </xf>
    <xf numFmtId="0" fontId="32" fillId="6" borderId="22" xfId="0" applyFont="1" applyFill="1" applyBorder="1" applyAlignment="1">
      <alignment wrapText="1"/>
    </xf>
    <xf numFmtId="43" fontId="32" fillId="6" borderId="22" xfId="22" applyFont="1" applyFill="1" applyBorder="1" applyAlignment="1">
      <alignment wrapText="1"/>
    </xf>
    <xf numFmtId="0" fontId="32" fillId="6" borderId="22" xfId="0" applyNumberFormat="1" applyFont="1" applyFill="1" applyBorder="1" applyAlignment="1">
      <alignment horizontal="right" vertical="top" wrapText="1"/>
    </xf>
    <xf numFmtId="0" fontId="32" fillId="6" borderId="22" xfId="0" applyNumberFormat="1" applyFont="1" applyFill="1" applyBorder="1" applyAlignment="1">
      <alignment vertical="top" wrapText="1"/>
    </xf>
    <xf numFmtId="0" fontId="33" fillId="6" borderId="22" xfId="0" applyFont="1" applyFill="1" applyBorder="1" applyAlignment="1">
      <alignment wrapText="1"/>
    </xf>
    <xf numFmtId="43" fontId="28" fillId="6" borderId="22" xfId="22" applyFont="1" applyFill="1" applyBorder="1" applyAlignment="1">
      <alignment horizontal="right" vertical="center"/>
    </xf>
    <xf numFmtId="0" fontId="31" fillId="6" borderId="22" xfId="0" applyFont="1" applyFill="1" applyBorder="1" applyAlignment="1">
      <alignment horizontal="right" wrapText="1"/>
    </xf>
    <xf numFmtId="0" fontId="33" fillId="6" borderId="22" xfId="0" applyFont="1" applyFill="1" applyBorder="1" applyAlignment="1">
      <alignment horizontal="right" wrapText="1"/>
    </xf>
    <xf numFmtId="166" fontId="31" fillId="6" borderId="22" xfId="0" applyNumberFormat="1" applyFont="1" applyFill="1" applyBorder="1" applyAlignment="1">
      <alignment horizontal="right" vertical="top" wrapText="1"/>
    </xf>
    <xf numFmtId="0" fontId="32" fillId="6" borderId="22" xfId="0" applyFont="1" applyFill="1" applyBorder="1" applyAlignment="1">
      <alignment horizontal="right"/>
    </xf>
    <xf numFmtId="0" fontId="31" fillId="6" borderId="22" xfId="0" applyFont="1" applyFill="1" applyBorder="1" applyAlignment="1">
      <alignment horizontal="right"/>
    </xf>
    <xf numFmtId="3" fontId="20" fillId="6" borderId="22" xfId="0" applyNumberFormat="1" applyFont="1" applyFill="1" applyBorder="1" applyAlignment="1">
      <alignment horizontal="center"/>
    </xf>
    <xf numFmtId="0" fontId="28" fillId="6" borderId="22" xfId="0" applyFont="1" applyFill="1" applyBorder="1" applyAlignment="1">
      <alignment horizontal="right" vertical="center"/>
    </xf>
    <xf numFmtId="0" fontId="28" fillId="6" borderId="22" xfId="0" applyFont="1" applyFill="1" applyBorder="1" applyAlignment="1">
      <alignment vertical="center" wrapText="1"/>
    </xf>
    <xf numFmtId="0" fontId="33" fillId="6" borderId="22" xfId="0" applyFont="1" applyFill="1" applyBorder="1" applyAlignment="1">
      <alignment horizontal="right" vertical="center"/>
    </xf>
    <xf numFmtId="0" fontId="33" fillId="6" borderId="22" xfId="0" applyFont="1" applyFill="1" applyBorder="1" applyAlignment="1">
      <alignment vertical="center" wrapText="1"/>
    </xf>
    <xf numFmtId="0" fontId="33" fillId="6" borderId="22" xfId="0" applyFont="1" applyFill="1" applyBorder="1" applyAlignment="1">
      <alignment horizontal="center" vertical="center"/>
    </xf>
    <xf numFmtId="43" fontId="33" fillId="6" borderId="22" xfId="22" applyFont="1" applyFill="1" applyBorder="1" applyAlignment="1">
      <alignment horizontal="right" vertical="center"/>
    </xf>
    <xf numFmtId="0" fontId="34" fillId="6" borderId="22" xfId="0" applyFont="1" applyFill="1" applyBorder="1" applyAlignment="1">
      <alignment horizontal="right"/>
    </xf>
    <xf numFmtId="0" fontId="35" fillId="6" borderId="22" xfId="0" applyFont="1" applyFill="1" applyBorder="1" applyAlignment="1">
      <alignment horizontal="left" wrapText="1"/>
    </xf>
    <xf numFmtId="3" fontId="35" fillId="6" borderId="22" xfId="0" applyNumberFormat="1" applyFont="1" applyFill="1" applyBorder="1" applyAlignment="1">
      <alignment horizontal="center"/>
    </xf>
    <xf numFmtId="165" fontId="35" fillId="6" borderId="22" xfId="0" applyNumberFormat="1" applyFont="1" applyFill="1" applyBorder="1" applyAlignment="1">
      <alignment horizontal="center"/>
    </xf>
    <xf numFmtId="4" fontId="35" fillId="6" borderId="22" xfId="0" applyNumberFormat="1" applyFont="1" applyFill="1" applyBorder="1" applyAlignment="1">
      <alignment horizontal="center"/>
    </xf>
    <xf numFmtId="43" fontId="27" fillId="6" borderId="22" xfId="22" applyFont="1" applyFill="1" applyBorder="1" applyAlignment="1">
      <alignment horizontal="right" indent="1"/>
    </xf>
    <xf numFmtId="0" fontId="34" fillId="6" borderId="22" xfId="5" applyFont="1" applyFill="1" applyBorder="1" applyAlignment="1">
      <alignment horizontal="right" vertical="center"/>
    </xf>
    <xf numFmtId="4" fontId="35" fillId="6" borderId="22" xfId="0" applyNumberFormat="1" applyFont="1" applyFill="1" applyBorder="1" applyAlignment="1">
      <alignment horizontal="left" wrapText="1"/>
    </xf>
    <xf numFmtId="4" fontId="34" fillId="6" borderId="22" xfId="0" applyNumberFormat="1" applyFont="1" applyFill="1" applyBorder="1" applyAlignment="1">
      <alignment horizontal="center"/>
    </xf>
    <xf numFmtId="165" fontId="34" fillId="6" borderId="22" xfId="0" applyNumberFormat="1" applyFont="1" applyFill="1" applyBorder="1" applyAlignment="1">
      <alignment horizontal="center"/>
    </xf>
    <xf numFmtId="43" fontId="34" fillId="6" borderId="22" xfId="22" applyFont="1" applyFill="1" applyBorder="1" applyAlignment="1">
      <alignment horizontal="right" indent="1"/>
    </xf>
    <xf numFmtId="0" fontId="27" fillId="6" borderId="22" xfId="5" applyFont="1" applyFill="1" applyBorder="1" applyAlignment="1">
      <alignment horizontal="right" vertical="center"/>
    </xf>
    <xf numFmtId="4" fontId="34" fillId="6" borderId="22" xfId="0" applyNumberFormat="1" applyFont="1" applyFill="1" applyBorder="1" applyAlignment="1">
      <alignment horizontal="left" wrapText="1"/>
    </xf>
    <xf numFmtId="3" fontId="27" fillId="6" borderId="22" xfId="0" applyNumberFormat="1" applyFont="1" applyFill="1" applyBorder="1" applyAlignment="1">
      <alignment horizontal="center"/>
    </xf>
    <xf numFmtId="165" fontId="27" fillId="6" borderId="22" xfId="0" applyNumberFormat="1" applyFont="1" applyFill="1" applyBorder="1" applyAlignment="1">
      <alignment horizontal="center"/>
    </xf>
    <xf numFmtId="4" fontId="27" fillId="6" borderId="22" xfId="0" applyNumberFormat="1" applyFont="1" applyFill="1" applyBorder="1" applyAlignment="1">
      <alignment horizontal="center"/>
    </xf>
    <xf numFmtId="3" fontId="27" fillId="6" borderId="22" xfId="0" applyNumberFormat="1" applyFont="1" applyFill="1" applyBorder="1" applyAlignment="1">
      <alignment horizontal="left" wrapText="1"/>
    </xf>
    <xf numFmtId="3" fontId="35" fillId="6" borderId="22" xfId="0" applyNumberFormat="1" applyFont="1" applyFill="1" applyBorder="1" applyAlignment="1">
      <alignment horizontal="left" wrapText="1"/>
    </xf>
    <xf numFmtId="0" fontId="32" fillId="6" borderId="22" xfId="0" applyFont="1" applyFill="1" applyBorder="1" applyAlignment="1">
      <alignment vertical="center" wrapText="1"/>
    </xf>
    <xf numFmtId="4" fontId="27" fillId="6" borderId="22" xfId="0" applyNumberFormat="1" applyFont="1" applyFill="1" applyBorder="1" applyAlignment="1">
      <alignment horizontal="left" wrapText="1"/>
    </xf>
    <xf numFmtId="3" fontId="34" fillId="6" borderId="22" xfId="0" applyNumberFormat="1" applyFont="1" applyFill="1" applyBorder="1" applyAlignment="1">
      <alignment horizontal="center"/>
    </xf>
    <xf numFmtId="166" fontId="34" fillId="6" borderId="22" xfId="5" applyNumberFormat="1" applyFont="1" applyFill="1" applyBorder="1" applyAlignment="1">
      <alignment horizontal="right" vertical="center"/>
    </xf>
    <xf numFmtId="0" fontId="27" fillId="6" borderId="22" xfId="0" applyFont="1" applyFill="1" applyBorder="1" applyAlignment="1">
      <alignment horizontal="right"/>
    </xf>
    <xf numFmtId="0" fontId="27" fillId="6" borderId="22" xfId="0" applyFont="1" applyFill="1" applyBorder="1" applyAlignment="1">
      <alignment horizontal="center"/>
    </xf>
    <xf numFmtId="0" fontId="27" fillId="6" borderId="22" xfId="0" applyFont="1" applyFill="1" applyBorder="1" applyAlignment="1">
      <alignment horizontal="left" wrapText="1"/>
    </xf>
    <xf numFmtId="0" fontId="34" fillId="6" borderId="22" xfId="0" applyFont="1" applyFill="1" applyBorder="1" applyAlignment="1">
      <alignment horizontal="left" wrapText="1"/>
    </xf>
    <xf numFmtId="0" fontId="35" fillId="6" borderId="22" xfId="0" applyFont="1" applyFill="1" applyBorder="1" applyAlignment="1"/>
    <xf numFmtId="43" fontId="7" fillId="6" borderId="22" xfId="22" applyFont="1" applyFill="1" applyBorder="1" applyAlignment="1">
      <alignment horizontal="right"/>
    </xf>
    <xf numFmtId="43" fontId="10" fillId="6" borderId="22" xfId="22" applyFont="1" applyFill="1" applyBorder="1" applyAlignment="1">
      <alignment horizontal="right"/>
    </xf>
    <xf numFmtId="43" fontId="35" fillId="6" borderId="22" xfId="22" applyFont="1" applyFill="1" applyBorder="1" applyAlignment="1">
      <alignment horizontal="right"/>
    </xf>
    <xf numFmtId="0" fontId="48" fillId="6" borderId="22" xfId="0" applyFont="1" applyFill="1" applyBorder="1" applyAlignment="1">
      <alignment horizontal="left" wrapText="1"/>
    </xf>
    <xf numFmtId="4" fontId="49" fillId="6" borderId="22" xfId="0" applyNumberFormat="1" applyFont="1" applyFill="1" applyBorder="1" applyAlignment="1">
      <alignment horizontal="center"/>
    </xf>
    <xf numFmtId="3" fontId="49" fillId="6" borderId="22" xfId="0" applyNumberFormat="1" applyFont="1" applyFill="1" applyBorder="1" applyAlignment="1">
      <alignment horizontal="center"/>
    </xf>
    <xf numFmtId="165" fontId="49" fillId="6" borderId="22" xfId="0" applyNumberFormat="1" applyFont="1" applyFill="1" applyBorder="1" applyAlignment="1">
      <alignment horizontal="center"/>
    </xf>
    <xf numFmtId="43" fontId="50" fillId="6" borderId="22" xfId="22" applyFont="1" applyFill="1" applyBorder="1" applyAlignment="1"/>
    <xf numFmtId="0" fontId="31" fillId="6" borderId="22" xfId="0" applyFont="1" applyFill="1" applyBorder="1" applyAlignment="1">
      <alignment vertical="center" wrapText="1"/>
    </xf>
    <xf numFmtId="0" fontId="0" fillId="6" borderId="22" xfId="0" applyFont="1" applyFill="1" applyBorder="1" applyAlignment="1">
      <alignment horizontal="center"/>
    </xf>
    <xf numFmtId="0" fontId="32" fillId="6" borderId="0" xfId="0" applyFont="1" applyFill="1" applyAlignment="1">
      <alignment vertical="top" wrapText="1"/>
    </xf>
    <xf numFmtId="0" fontId="31" fillId="6" borderId="0" xfId="0" applyFont="1" applyFill="1" applyAlignment="1">
      <alignment vertical="top" wrapText="1"/>
    </xf>
    <xf numFmtId="3" fontId="22" fillId="6" borderId="22" xfId="0" applyNumberFormat="1" applyFont="1" applyFill="1" applyBorder="1" applyAlignment="1">
      <alignment horizontal="center" vertical="top" wrapText="1"/>
    </xf>
    <xf numFmtId="3" fontId="33" fillId="6" borderId="22" xfId="0" applyNumberFormat="1" applyFont="1" applyFill="1" applyBorder="1" applyAlignment="1">
      <alignment horizontal="right" vertical="center"/>
    </xf>
    <xf numFmtId="0" fontId="0" fillId="6" borderId="22" xfId="0" applyFont="1" applyFill="1" applyBorder="1" applyAlignment="1"/>
    <xf numFmtId="0" fontId="0" fillId="6" borderId="0" xfId="0" applyFont="1" applyFill="1" applyBorder="1" applyAlignment="1"/>
    <xf numFmtId="0" fontId="24" fillId="6" borderId="0" xfId="0" applyFont="1" applyFill="1" applyBorder="1" applyAlignment="1"/>
    <xf numFmtId="4" fontId="25" fillId="6" borderId="22" xfId="0" applyNumberFormat="1" applyFont="1" applyFill="1" applyBorder="1" applyAlignment="1">
      <alignment horizontal="center"/>
    </xf>
    <xf numFmtId="3" fontId="0" fillId="6" borderId="22" xfId="0" applyNumberFormat="1" applyFont="1" applyFill="1" applyBorder="1" applyAlignment="1"/>
    <xf numFmtId="43" fontId="0" fillId="6" borderId="22" xfId="22" applyFont="1" applyFill="1" applyBorder="1" applyAlignment="1"/>
    <xf numFmtId="0" fontId="0" fillId="6" borderId="22" xfId="0" applyFont="1" applyFill="1" applyBorder="1" applyAlignment="1">
      <alignment wrapText="1"/>
    </xf>
    <xf numFmtId="0" fontId="24" fillId="6" borderId="22" xfId="0" applyFont="1" applyFill="1" applyBorder="1" applyAlignment="1">
      <alignment wrapText="1"/>
    </xf>
    <xf numFmtId="3" fontId="0" fillId="6" borderId="22" xfId="0" applyNumberFormat="1" applyFont="1" applyFill="1" applyBorder="1" applyAlignment="1">
      <alignment wrapText="1"/>
    </xf>
    <xf numFmtId="165" fontId="0" fillId="6" borderId="22" xfId="0" applyNumberFormat="1" applyFont="1" applyFill="1" applyBorder="1" applyAlignment="1">
      <alignment wrapText="1"/>
    </xf>
    <xf numFmtId="43" fontId="0" fillId="6" borderId="22" xfId="22" applyFont="1" applyFill="1" applyBorder="1" applyAlignment="1">
      <alignment wrapText="1"/>
    </xf>
    <xf numFmtId="0" fontId="0" fillId="6" borderId="22" xfId="0" applyFont="1" applyFill="1" applyBorder="1"/>
    <xf numFmtId="2" fontId="0" fillId="6" borderId="22" xfId="0" applyNumberFormat="1" applyFont="1" applyFill="1" applyBorder="1" applyAlignment="1">
      <alignment wrapText="1"/>
    </xf>
    <xf numFmtId="0" fontId="69" fillId="6" borderId="22" xfId="0" applyFont="1" applyFill="1" applyBorder="1" applyAlignment="1">
      <alignment horizontal="center"/>
    </xf>
    <xf numFmtId="3" fontId="69" fillId="6" borderId="22" xfId="0" applyNumberFormat="1" applyFont="1" applyFill="1" applyBorder="1" applyAlignment="1"/>
    <xf numFmtId="43" fontId="24" fillId="6" borderId="22" xfId="22" applyFont="1" applyFill="1" applyBorder="1" applyAlignment="1"/>
    <xf numFmtId="0" fontId="69" fillId="6" borderId="22" xfId="0" applyFont="1" applyFill="1" applyBorder="1" applyAlignment="1"/>
    <xf numFmtId="0" fontId="24" fillId="6" borderId="22" xfId="0" applyFont="1" applyFill="1" applyBorder="1" applyAlignment="1">
      <alignment horizontal="center" vertical="center"/>
    </xf>
    <xf numFmtId="3" fontId="20" fillId="6" borderId="22" xfId="12" applyNumberFormat="1" applyFont="1" applyFill="1" applyBorder="1" applyAlignment="1">
      <alignment horizontal="center" vertical="center" wrapText="1"/>
    </xf>
    <xf numFmtId="165" fontId="20" fillId="6" borderId="22" xfId="12" applyNumberFormat="1" applyFont="1" applyFill="1" applyBorder="1" applyAlignment="1">
      <alignment horizontal="center" vertical="center" wrapText="1"/>
    </xf>
    <xf numFmtId="43" fontId="20" fillId="6" borderId="22" xfId="22" applyFont="1" applyFill="1" applyBorder="1" applyAlignment="1">
      <alignment horizontal="center" vertical="center" wrapText="1"/>
    </xf>
    <xf numFmtId="0" fontId="0" fillId="6" borderId="22" xfId="0" applyFont="1" applyFill="1" applyBorder="1" applyAlignment="1">
      <alignment horizontal="center" vertical="center"/>
    </xf>
    <xf numFmtId="3" fontId="24" fillId="6" borderId="22" xfId="0" applyNumberFormat="1" applyFont="1" applyFill="1" applyBorder="1" applyAlignment="1"/>
    <xf numFmtId="0" fontId="24" fillId="6" borderId="22" xfId="0" applyFont="1" applyFill="1" applyBorder="1" applyAlignment="1"/>
    <xf numFmtId="3" fontId="20" fillId="6" borderId="22" xfId="4" applyNumberFormat="1" applyFont="1" applyFill="1" applyBorder="1" applyAlignment="1"/>
    <xf numFmtId="165" fontId="20" fillId="6" borderId="22" xfId="4" applyNumberFormat="1" applyFont="1" applyFill="1" applyBorder="1" applyAlignment="1"/>
    <xf numFmtId="43" fontId="20" fillId="6" borderId="22" xfId="22" applyFont="1" applyFill="1" applyBorder="1" applyAlignment="1"/>
    <xf numFmtId="165" fontId="19" fillId="6" borderId="22" xfId="0" applyNumberFormat="1" applyFont="1" applyFill="1" applyBorder="1" applyAlignment="1"/>
    <xf numFmtId="0" fontId="19" fillId="6" borderId="22" xfId="0" applyNumberFormat="1" applyFont="1" applyFill="1" applyBorder="1" applyAlignment="1">
      <alignment horizontal="left" wrapText="1"/>
    </xf>
    <xf numFmtId="3" fontId="25" fillId="6" borderId="22" xfId="0" applyNumberFormat="1" applyFont="1" applyFill="1" applyBorder="1" applyAlignment="1">
      <alignment horizontal="center"/>
    </xf>
    <xf numFmtId="165" fontId="26" fillId="6" borderId="22" xfId="0" applyNumberFormat="1" applyFont="1" applyFill="1" applyBorder="1" applyAlignment="1">
      <alignment horizontal="center"/>
    </xf>
    <xf numFmtId="3" fontId="19" fillId="6" borderId="22" xfId="0" applyNumberFormat="1" applyFont="1" applyFill="1" applyBorder="1" applyAlignment="1">
      <alignment horizontal="left" wrapText="1"/>
    </xf>
    <xf numFmtId="3" fontId="20" fillId="6" borderId="22" xfId="0" applyNumberFormat="1" applyFont="1" applyFill="1" applyBorder="1" applyAlignment="1">
      <alignment horizontal="left" wrapText="1"/>
    </xf>
    <xf numFmtId="3" fontId="26" fillId="6" borderId="22" xfId="0" applyNumberFormat="1" applyFont="1" applyFill="1" applyBorder="1" applyAlignment="1">
      <alignment horizontal="left" wrapText="1"/>
    </xf>
    <xf numFmtId="43" fontId="24" fillId="6" borderId="22" xfId="0" applyNumberFormat="1" applyFont="1" applyFill="1" applyBorder="1" applyAlignment="1"/>
    <xf numFmtId="165" fontId="19" fillId="4" borderId="25" xfId="0" applyNumberFormat="1" applyFont="1" applyFill="1" applyBorder="1" applyAlignment="1">
      <alignment horizontal="center"/>
    </xf>
    <xf numFmtId="0" fontId="6" fillId="6" borderId="13" xfId="0" applyFont="1" applyFill="1" applyBorder="1" applyAlignment="1"/>
    <xf numFmtId="2" fontId="32" fillId="6" borderId="22" xfId="0" applyNumberFormat="1" applyFont="1" applyFill="1" applyBorder="1" applyAlignment="1">
      <alignment horizontal="right" wrapText="1"/>
    </xf>
    <xf numFmtId="165" fontId="7" fillId="6" borderId="22" xfId="0" applyNumberFormat="1" applyFont="1" applyFill="1" applyBorder="1" applyAlignment="1"/>
    <xf numFmtId="4" fontId="35" fillId="6" borderId="26" xfId="0" applyNumberFormat="1" applyFont="1" applyFill="1" applyBorder="1" applyAlignment="1">
      <alignment horizontal="left" wrapText="1"/>
    </xf>
    <xf numFmtId="43" fontId="9" fillId="6" borderId="22" xfId="22" applyFont="1" applyFill="1" applyBorder="1" applyAlignment="1">
      <alignment horizontal="right"/>
    </xf>
    <xf numFmtId="43" fontId="27" fillId="6" borderId="22" xfId="22" applyFont="1" applyFill="1" applyBorder="1" applyAlignment="1">
      <alignment horizontal="right"/>
    </xf>
    <xf numFmtId="0" fontId="49" fillId="6" borderId="22" xfId="0" applyFont="1" applyFill="1" applyBorder="1" applyAlignment="1">
      <alignment horizontal="left" wrapText="1"/>
    </xf>
    <xf numFmtId="43" fontId="49" fillId="6" borderId="22" xfId="22" applyFont="1" applyFill="1" applyBorder="1" applyAlignment="1"/>
    <xf numFmtId="0" fontId="8" fillId="6" borderId="27" xfId="0" applyFont="1" applyFill="1" applyBorder="1" applyAlignment="1">
      <alignment horizontal="right" vertical="center"/>
    </xf>
    <xf numFmtId="0" fontId="8" fillId="6" borderId="27" xfId="0" applyFont="1" applyFill="1" applyBorder="1" applyAlignment="1">
      <alignment wrapText="1"/>
    </xf>
    <xf numFmtId="0" fontId="8" fillId="6" borderId="27" xfId="0" applyFont="1" applyFill="1" applyBorder="1" applyAlignment="1">
      <alignment horizontal="center" vertical="center"/>
    </xf>
    <xf numFmtId="3" fontId="8" fillId="6" borderId="27" xfId="0" applyNumberFormat="1" applyFont="1" applyFill="1" applyBorder="1" applyAlignment="1"/>
    <xf numFmtId="165" fontId="9" fillId="6" borderId="27" xfId="0" applyNumberFormat="1" applyFont="1" applyFill="1" applyBorder="1" applyAlignment="1"/>
    <xf numFmtId="43" fontId="8" fillId="6" borderId="27" xfId="22" applyFont="1" applyFill="1" applyBorder="1" applyAlignment="1"/>
    <xf numFmtId="3" fontId="32" fillId="6" borderId="22" xfId="0" applyNumberFormat="1" applyFont="1" applyFill="1" applyBorder="1" applyAlignment="1">
      <alignment horizontal="center" vertical="top" wrapText="1"/>
    </xf>
    <xf numFmtId="3" fontId="32" fillId="6" borderId="22" xfId="0" applyNumberFormat="1" applyFont="1" applyFill="1" applyBorder="1" applyAlignment="1">
      <alignment wrapText="1"/>
    </xf>
    <xf numFmtId="4" fontId="70" fillId="6" borderId="22" xfId="0" applyNumberFormat="1" applyFont="1" applyFill="1" applyBorder="1" applyAlignment="1">
      <alignment horizontal="center"/>
    </xf>
    <xf numFmtId="3" fontId="70" fillId="6" borderId="22" xfId="0" applyNumberFormat="1" applyFont="1" applyFill="1" applyBorder="1" applyAlignment="1">
      <alignment horizontal="center"/>
    </xf>
    <xf numFmtId="165" fontId="70" fillId="6" borderId="22" xfId="0" applyNumberFormat="1" applyFont="1" applyFill="1" applyBorder="1" applyAlignment="1">
      <alignment horizontal="center"/>
    </xf>
    <xf numFmtId="43" fontId="70" fillId="6" borderId="22" xfId="22" applyFont="1" applyFill="1" applyBorder="1" applyAlignment="1"/>
    <xf numFmtId="0" fontId="0" fillId="6" borderId="13" xfId="0" applyFont="1" applyFill="1" applyBorder="1" applyAlignment="1"/>
    <xf numFmtId="0" fontId="0" fillId="6" borderId="13" xfId="0" applyFont="1" applyFill="1" applyBorder="1"/>
    <xf numFmtId="0" fontId="69" fillId="6" borderId="13" xfId="0" applyFont="1" applyFill="1" applyBorder="1" applyAlignment="1"/>
    <xf numFmtId="0" fontId="24" fillId="6" borderId="13" xfId="0" applyFont="1" applyFill="1" applyBorder="1" applyAlignment="1"/>
    <xf numFmtId="0" fontId="24" fillId="6" borderId="22" xfId="0" applyFont="1" applyFill="1" applyBorder="1" applyAlignment="1">
      <alignment horizontal="center" vertical="center" wrapText="1"/>
    </xf>
    <xf numFmtId="0" fontId="0" fillId="0" borderId="22" xfId="0" applyFont="1" applyBorder="1" applyAlignment="1">
      <alignment wrapText="1"/>
    </xf>
    <xf numFmtId="0" fontId="64" fillId="6" borderId="22" xfId="0" applyFont="1" applyFill="1" applyBorder="1" applyAlignment="1">
      <alignment horizontal="left" wrapText="1"/>
    </xf>
    <xf numFmtId="43" fontId="31" fillId="6" borderId="22" xfId="22" applyFont="1" applyFill="1" applyBorder="1" applyAlignment="1">
      <alignment wrapText="1"/>
    </xf>
    <xf numFmtId="0" fontId="24" fillId="6" borderId="22" xfId="0" applyFont="1" applyFill="1" applyBorder="1" applyAlignment="1">
      <alignment horizontal="right" vertical="center"/>
    </xf>
    <xf numFmtId="3" fontId="25" fillId="6" borderId="22" xfId="0" applyNumberFormat="1" applyFont="1" applyFill="1" applyBorder="1" applyAlignment="1">
      <alignment horizontal="left" wrapText="1"/>
    </xf>
    <xf numFmtId="0" fontId="20" fillId="0" borderId="18" xfId="11" applyFont="1" applyFill="1" applyBorder="1" applyAlignment="1">
      <alignment wrapText="1"/>
    </xf>
    <xf numFmtId="0" fontId="19" fillId="0" borderId="22" xfId="9" applyFont="1" applyBorder="1" applyAlignment="1">
      <alignment horizontal="left" wrapText="1"/>
    </xf>
    <xf numFmtId="0" fontId="24" fillId="0" borderId="22" xfId="0" applyFont="1" applyFill="1" applyBorder="1" applyAlignment="1">
      <alignment horizontal="right" vertical="center"/>
    </xf>
    <xf numFmtId="0" fontId="24" fillId="0" borderId="22" xfId="0" applyFont="1" applyFill="1" applyBorder="1" applyAlignment="1">
      <alignment horizontal="center" vertical="center" wrapText="1"/>
    </xf>
    <xf numFmtId="0" fontId="24" fillId="0" borderId="22" xfId="0" applyFont="1" applyFill="1" applyBorder="1" applyAlignment="1">
      <alignment horizontal="center" vertical="center"/>
    </xf>
    <xf numFmtId="165" fontId="20" fillId="0" borderId="22" xfId="12" applyNumberFormat="1" applyFont="1" applyFill="1" applyBorder="1" applyAlignment="1">
      <alignment horizontal="center" vertical="center" wrapText="1"/>
    </xf>
    <xf numFmtId="44" fontId="20" fillId="0" borderId="22" xfId="17" applyFont="1" applyFill="1" applyBorder="1" applyAlignment="1">
      <alignment horizontal="center" vertical="center" wrapText="1"/>
    </xf>
    <xf numFmtId="0" fontId="2" fillId="0" borderId="22" xfId="0" applyFont="1" applyFill="1" applyBorder="1" applyAlignment="1">
      <alignment horizontal="right" vertical="center"/>
    </xf>
    <xf numFmtId="0" fontId="25" fillId="0" borderId="22" xfId="0" applyFont="1" applyFill="1" applyBorder="1" applyAlignment="1">
      <alignment horizontal="left" wrapText="1"/>
    </xf>
    <xf numFmtId="0" fontId="25" fillId="0" borderId="22" xfId="0" applyFont="1" applyFill="1" applyBorder="1" applyAlignment="1">
      <alignment horizontal="center" vertical="center"/>
    </xf>
    <xf numFmtId="165" fontId="19" fillId="0" borderId="22" xfId="0" applyNumberFormat="1" applyFont="1" applyFill="1" applyBorder="1" applyAlignment="1">
      <alignment vertical="center"/>
    </xf>
    <xf numFmtId="44" fontId="2" fillId="0" borderId="22" xfId="17" applyFont="1" applyFill="1" applyBorder="1" applyAlignment="1">
      <alignment vertical="center"/>
    </xf>
    <xf numFmtId="0" fontId="25" fillId="0" borderId="22" xfId="0" applyFont="1" applyFill="1" applyBorder="1" applyAlignment="1">
      <alignment horizontal="left" vertical="center" wrapText="1"/>
    </xf>
    <xf numFmtId="0" fontId="19" fillId="0" borderId="22" xfId="0" applyFont="1" applyFill="1" applyBorder="1" applyAlignment="1">
      <alignment horizontal="right" vertical="center"/>
    </xf>
    <xf numFmtId="4" fontId="19" fillId="0" borderId="22" xfId="0" applyNumberFormat="1" applyFont="1" applyFill="1" applyBorder="1" applyAlignment="1">
      <alignment horizontal="center"/>
    </xf>
    <xf numFmtId="165" fontId="19" fillId="0" borderId="22" xfId="0" applyNumberFormat="1" applyFont="1" applyFill="1" applyBorder="1" applyAlignment="1">
      <alignment horizontal="center" vertical="center"/>
    </xf>
    <xf numFmtId="44" fontId="19" fillId="0" borderId="22" xfId="17" applyFont="1" applyFill="1" applyBorder="1" applyAlignment="1">
      <alignment vertical="center"/>
    </xf>
    <xf numFmtId="0" fontId="20" fillId="0" borderId="22" xfId="0" applyFont="1" applyFill="1" applyBorder="1" applyAlignment="1">
      <alignment horizontal="left" wrapText="1"/>
    </xf>
    <xf numFmtId="0" fontId="19" fillId="0" borderId="22" xfId="0" applyFont="1" applyFill="1" applyBorder="1" applyAlignment="1">
      <alignment horizontal="left" wrapText="1"/>
    </xf>
    <xf numFmtId="3" fontId="19" fillId="0" borderId="22" xfId="0" applyNumberFormat="1" applyFont="1" applyFill="1" applyBorder="1" applyAlignment="1">
      <alignment horizontal="center"/>
    </xf>
    <xf numFmtId="44" fontId="19" fillId="0" borderId="22" xfId="17" applyFont="1" applyFill="1" applyBorder="1" applyAlignment="1">
      <alignment horizontal="right" vertical="center"/>
    </xf>
    <xf numFmtId="165" fontId="19" fillId="0" borderId="22" xfId="0" applyNumberFormat="1" applyFont="1" applyFill="1" applyBorder="1" applyAlignment="1">
      <alignment horizontal="center"/>
    </xf>
    <xf numFmtId="44" fontId="19" fillId="0" borderId="22" xfId="17" applyFont="1" applyFill="1" applyBorder="1" applyAlignment="1"/>
    <xf numFmtId="0" fontId="19" fillId="0" borderId="23" xfId="0" applyFont="1" applyFill="1" applyBorder="1" applyAlignment="1">
      <alignment horizontal="center"/>
    </xf>
    <xf numFmtId="0" fontId="26" fillId="0" borderId="23" xfId="0" applyFont="1" applyFill="1" applyBorder="1" applyAlignment="1">
      <alignment horizontal="left" wrapText="1"/>
    </xf>
    <xf numFmtId="4" fontId="19" fillId="0" borderId="23" xfId="0" applyNumberFormat="1" applyFont="1" applyFill="1" applyBorder="1" applyAlignment="1">
      <alignment horizontal="center"/>
    </xf>
    <xf numFmtId="44" fontId="19" fillId="0" borderId="23" xfId="17" applyFont="1" applyFill="1" applyBorder="1" applyAlignment="1">
      <alignment horizontal="right"/>
    </xf>
    <xf numFmtId="0" fontId="19" fillId="0" borderId="23" xfId="0" applyFont="1" applyFill="1" applyBorder="1" applyAlignment="1">
      <alignment horizontal="left" wrapText="1"/>
    </xf>
    <xf numFmtId="0" fontId="26" fillId="0" borderId="22" xfId="0" applyFont="1" applyFill="1" applyBorder="1" applyAlignment="1">
      <alignment horizontal="left" wrapText="1"/>
    </xf>
    <xf numFmtId="3" fontId="20" fillId="0" borderId="22" xfId="0" applyNumberFormat="1" applyFont="1" applyFill="1" applyBorder="1" applyAlignment="1">
      <alignment horizontal="center"/>
    </xf>
    <xf numFmtId="165" fontId="20" fillId="0" borderId="22" xfId="0" applyNumberFormat="1" applyFont="1" applyFill="1" applyBorder="1" applyAlignment="1">
      <alignment horizontal="center" vertical="center"/>
    </xf>
    <xf numFmtId="44" fontId="20" fillId="0" borderId="22" xfId="17" applyFont="1" applyFill="1" applyBorder="1" applyAlignment="1">
      <alignment vertical="center"/>
    </xf>
    <xf numFmtId="0" fontId="6" fillId="6" borderId="23" xfId="0" applyFont="1" applyFill="1" applyBorder="1" applyAlignment="1">
      <alignment horizontal="right" vertical="center"/>
    </xf>
    <xf numFmtId="0" fontId="6" fillId="6" borderId="23" xfId="0" applyFont="1" applyFill="1" applyBorder="1" applyAlignment="1">
      <alignment horizontal="center" vertical="center" wrapText="1"/>
    </xf>
    <xf numFmtId="0" fontId="6" fillId="6" borderId="23" xfId="0" applyFont="1" applyFill="1" applyBorder="1" applyAlignment="1">
      <alignment horizontal="center" vertical="center"/>
    </xf>
    <xf numFmtId="165" fontId="7" fillId="6" borderId="23" xfId="12" applyNumberFormat="1" applyFont="1" applyFill="1" applyBorder="1" applyAlignment="1">
      <alignment horizontal="center" vertical="center" wrapText="1"/>
    </xf>
    <xf numFmtId="44" fontId="7" fillId="6" borderId="23" xfId="17" applyFont="1" applyFill="1" applyBorder="1" applyAlignment="1">
      <alignment horizontal="center" vertical="center" wrapText="1"/>
    </xf>
    <xf numFmtId="0" fontId="8" fillId="0" borderId="22" xfId="0" applyFont="1" applyFill="1" applyBorder="1" applyAlignment="1"/>
    <xf numFmtId="44" fontId="20" fillId="6" borderId="1" xfId="17" applyFont="1" applyFill="1" applyBorder="1" applyAlignment="1"/>
    <xf numFmtId="44" fontId="19" fillId="6" borderId="23" xfId="17" applyFont="1" applyFill="1" applyBorder="1" applyAlignment="1">
      <alignment horizontal="right"/>
    </xf>
    <xf numFmtId="44" fontId="2" fillId="6" borderId="23" xfId="17" applyFont="1" applyFill="1" applyBorder="1" applyAlignment="1">
      <alignment horizontal="right"/>
    </xf>
    <xf numFmtId="0" fontId="19" fillId="0" borderId="21" xfId="0" applyFont="1" applyFill="1" applyBorder="1" applyAlignment="1">
      <alignment horizontal="left" wrapText="1"/>
    </xf>
    <xf numFmtId="44" fontId="20" fillId="6" borderId="23" xfId="17" applyFont="1" applyFill="1" applyBorder="1" applyAlignment="1">
      <alignment horizontal="right"/>
    </xf>
    <xf numFmtId="44" fontId="20" fillId="6" borderId="21" xfId="17" applyFont="1" applyFill="1" applyBorder="1" applyAlignment="1">
      <alignment horizontal="right"/>
    </xf>
    <xf numFmtId="0" fontId="19" fillId="6" borderId="0" xfId="0" applyFont="1" applyFill="1" applyBorder="1" applyAlignment="1">
      <alignment horizontal="center"/>
    </xf>
    <xf numFmtId="0" fontId="20" fillId="6" borderId="0" xfId="0" applyFont="1" applyFill="1" applyBorder="1" applyAlignment="1">
      <alignment horizontal="left" wrapText="1"/>
    </xf>
    <xf numFmtId="4" fontId="20" fillId="6" borderId="0" xfId="0" applyNumberFormat="1" applyFont="1" applyFill="1" applyBorder="1" applyAlignment="1">
      <alignment horizontal="center"/>
    </xf>
    <xf numFmtId="4" fontId="19" fillId="6" borderId="0" xfId="0" applyNumberFormat="1" applyFont="1" applyFill="1" applyBorder="1" applyAlignment="1">
      <alignment horizontal="center"/>
    </xf>
    <xf numFmtId="44" fontId="20" fillId="6" borderId="0" xfId="17" applyFont="1" applyFill="1" applyBorder="1" applyAlignment="1">
      <alignment horizontal="right"/>
    </xf>
    <xf numFmtId="0" fontId="31" fillId="6" borderId="24" xfId="0" applyNumberFormat="1" applyFont="1" applyFill="1" applyBorder="1" applyAlignment="1">
      <alignment horizontal="right" vertical="center" wrapText="1"/>
    </xf>
    <xf numFmtId="0" fontId="31" fillId="6" borderId="24" xfId="0" applyNumberFormat="1" applyFont="1" applyFill="1" applyBorder="1" applyAlignment="1">
      <alignment vertical="top" wrapText="1"/>
    </xf>
    <xf numFmtId="0" fontId="32" fillId="6" borderId="24" xfId="0" applyNumberFormat="1" applyFont="1" applyFill="1" applyBorder="1" applyAlignment="1">
      <alignment horizontal="center" vertical="top" wrapText="1"/>
    </xf>
    <xf numFmtId="1" fontId="32" fillId="6" borderId="24" xfId="0" applyNumberFormat="1" applyFont="1" applyFill="1" applyBorder="1" applyAlignment="1">
      <alignment horizontal="right" vertical="center" wrapText="1"/>
    </xf>
    <xf numFmtId="44" fontId="32" fillId="6" borderId="24" xfId="17" applyFont="1" applyFill="1" applyBorder="1" applyAlignment="1">
      <alignment horizontal="right" vertical="center" wrapText="1"/>
    </xf>
    <xf numFmtId="0" fontId="32" fillId="6" borderId="24" xfId="0" applyFont="1" applyFill="1" applyBorder="1" applyAlignment="1">
      <alignment horizontal="right" vertical="center" wrapText="1"/>
    </xf>
    <xf numFmtId="0" fontId="31" fillId="6" borderId="24" xfId="0" applyFont="1" applyFill="1" applyBorder="1" applyAlignment="1">
      <alignment wrapText="1"/>
    </xf>
    <xf numFmtId="0" fontId="32" fillId="6" borderId="24" xfId="0" applyFont="1" applyFill="1" applyBorder="1" applyAlignment="1">
      <alignment wrapText="1"/>
    </xf>
    <xf numFmtId="0" fontId="32" fillId="6" borderId="24" xfId="0" applyFont="1" applyFill="1" applyBorder="1" applyAlignment="1">
      <alignment vertical="center" wrapText="1"/>
    </xf>
    <xf numFmtId="44" fontId="32" fillId="6" borderId="24" xfId="17" applyFont="1" applyFill="1" applyBorder="1" applyAlignment="1">
      <alignment vertical="center" wrapText="1"/>
    </xf>
    <xf numFmtId="0" fontId="32" fillId="6" borderId="24" xfId="0" applyNumberFormat="1" applyFont="1" applyFill="1" applyBorder="1" applyAlignment="1">
      <alignment horizontal="right" vertical="center" wrapText="1"/>
    </xf>
    <xf numFmtId="0" fontId="32" fillId="6" borderId="24" xfId="0" applyNumberFormat="1" applyFont="1" applyFill="1" applyBorder="1" applyAlignment="1">
      <alignment vertical="top" wrapText="1"/>
    </xf>
    <xf numFmtId="0" fontId="33" fillId="6" borderId="24" xfId="0" applyFont="1" applyFill="1" applyBorder="1" applyAlignment="1">
      <alignment wrapText="1"/>
    </xf>
    <xf numFmtId="44" fontId="28" fillId="6" borderId="24" xfId="17" applyFont="1" applyFill="1" applyBorder="1" applyAlignment="1">
      <alignment horizontal="right" vertical="center"/>
    </xf>
    <xf numFmtId="2" fontId="32" fillId="6" borderId="24" xfId="0" applyNumberFormat="1" applyFont="1" applyFill="1" applyBorder="1" applyAlignment="1">
      <alignment horizontal="right" vertical="center" wrapText="1"/>
    </xf>
    <xf numFmtId="0" fontId="33" fillId="6" borderId="24" xfId="0" applyFont="1" applyFill="1" applyBorder="1" applyAlignment="1">
      <alignment horizontal="right" vertical="center" wrapText="1"/>
    </xf>
    <xf numFmtId="0" fontId="33" fillId="6" borderId="24" xfId="0" applyFont="1" applyFill="1" applyBorder="1" applyAlignment="1">
      <alignment vertical="center" wrapText="1"/>
    </xf>
    <xf numFmtId="44" fontId="33" fillId="6" borderId="24" xfId="17" applyFont="1" applyFill="1" applyBorder="1" applyAlignment="1">
      <alignment horizontal="right" vertical="center"/>
    </xf>
    <xf numFmtId="166" fontId="31" fillId="6" borderId="24" xfId="0" applyNumberFormat="1" applyFont="1" applyFill="1" applyBorder="1" applyAlignment="1">
      <alignment horizontal="right" vertical="center" wrapText="1"/>
    </xf>
    <xf numFmtId="1" fontId="31" fillId="6" borderId="24" xfId="0" applyNumberFormat="1" applyFont="1" applyFill="1" applyBorder="1" applyAlignment="1">
      <alignment horizontal="center" vertical="top" wrapText="1"/>
    </xf>
    <xf numFmtId="1" fontId="31" fillId="6" borderId="24" xfId="0" applyNumberFormat="1" applyFont="1" applyFill="1" applyBorder="1" applyAlignment="1">
      <alignment horizontal="right" vertical="center" wrapText="1"/>
    </xf>
    <xf numFmtId="0" fontId="32" fillId="6" borderId="24" xfId="0" applyFont="1" applyFill="1" applyBorder="1" applyAlignment="1">
      <alignment horizontal="right" vertical="center"/>
    </xf>
    <xf numFmtId="0" fontId="32" fillId="6" borderId="24" xfId="0" applyFont="1" applyFill="1" applyBorder="1" applyAlignment="1"/>
    <xf numFmtId="0" fontId="32" fillId="6" borderId="24" xfId="0" applyFont="1" applyFill="1" applyBorder="1" applyAlignment="1">
      <alignment vertical="center"/>
    </xf>
    <xf numFmtId="0" fontId="27" fillId="6" borderId="24" xfId="0" applyFont="1" applyFill="1" applyBorder="1" applyAlignment="1">
      <alignment wrapText="1"/>
    </xf>
    <xf numFmtId="0" fontId="27" fillId="6" borderId="24" xfId="0" applyFont="1" applyFill="1" applyBorder="1" applyAlignment="1"/>
    <xf numFmtId="0" fontId="27" fillId="6" borderId="24" xfId="0" applyFont="1" applyFill="1" applyBorder="1" applyAlignment="1">
      <alignment vertical="center"/>
    </xf>
    <xf numFmtId="44" fontId="27" fillId="6" borderId="24" xfId="17" applyFont="1" applyFill="1" applyBorder="1" applyAlignment="1">
      <alignment horizontal="right" vertical="center"/>
    </xf>
    <xf numFmtId="0" fontId="31" fillId="6" borderId="24" xfId="0" applyFont="1" applyFill="1" applyBorder="1" applyAlignment="1">
      <alignment horizontal="right" vertical="center"/>
    </xf>
    <xf numFmtId="0" fontId="31" fillId="6" borderId="24" xfId="0" applyFont="1" applyFill="1" applyBorder="1" applyAlignment="1"/>
    <xf numFmtId="0" fontId="31" fillId="6" borderId="24" xfId="0" applyFont="1" applyFill="1" applyBorder="1" applyAlignment="1">
      <alignment vertical="center"/>
    </xf>
    <xf numFmtId="0" fontId="31" fillId="6" borderId="24" xfId="0" applyNumberFormat="1" applyFont="1" applyFill="1" applyBorder="1" applyAlignment="1">
      <alignment horizontal="center" vertical="top" wrapText="1"/>
    </xf>
    <xf numFmtId="0" fontId="31" fillId="6" borderId="0" xfId="0" applyNumberFormat="1" applyFont="1" applyFill="1" applyBorder="1" applyAlignment="1">
      <alignment horizontal="right" vertical="center" wrapText="1"/>
    </xf>
    <xf numFmtId="0" fontId="31" fillId="6" borderId="0" xfId="0" applyNumberFormat="1" applyFont="1" applyFill="1" applyBorder="1" applyAlignment="1">
      <alignment vertical="top" wrapText="1"/>
    </xf>
    <xf numFmtId="0" fontId="31" fillId="6" borderId="0" xfId="0" applyNumberFormat="1" applyFont="1" applyFill="1" applyBorder="1" applyAlignment="1">
      <alignment horizontal="center" vertical="top" wrapText="1"/>
    </xf>
    <xf numFmtId="1" fontId="31" fillId="6" borderId="0" xfId="0" applyNumberFormat="1" applyFont="1" applyFill="1" applyBorder="1" applyAlignment="1">
      <alignment horizontal="right" vertical="center" wrapText="1"/>
    </xf>
    <xf numFmtId="44" fontId="33" fillId="6" borderId="0" xfId="17" applyFont="1" applyFill="1" applyBorder="1" applyAlignment="1">
      <alignment horizontal="right" vertical="center"/>
    </xf>
    <xf numFmtId="0" fontId="20" fillId="0" borderId="23" xfId="0" applyFont="1" applyFill="1" applyBorder="1" applyAlignment="1">
      <alignment horizontal="center"/>
    </xf>
    <xf numFmtId="0" fontId="25" fillId="0" borderId="23" xfId="0" applyFont="1" applyFill="1" applyBorder="1" applyAlignment="1">
      <alignment horizontal="left" wrapText="1"/>
    </xf>
    <xf numFmtId="0" fontId="33" fillId="6" borderId="24" xfId="0" applyFont="1" applyFill="1" applyBorder="1" applyAlignment="1">
      <alignment horizontal="right" vertical="center"/>
    </xf>
    <xf numFmtId="0" fontId="33" fillId="6" borderId="24" xfId="0" applyFont="1" applyFill="1" applyBorder="1" applyAlignment="1">
      <alignment horizontal="center" vertical="center"/>
    </xf>
    <xf numFmtId="0" fontId="6" fillId="6" borderId="21" xfId="0" applyFont="1" applyFill="1" applyBorder="1" applyAlignment="1">
      <alignment horizontal="right" vertical="center"/>
    </xf>
    <xf numFmtId="4" fontId="27" fillId="6" borderId="22" xfId="0" applyNumberFormat="1" applyFont="1" applyFill="1" applyBorder="1" applyAlignment="1">
      <alignment horizontal="center" vertical="center"/>
    </xf>
    <xf numFmtId="44" fontId="34" fillId="6" borderId="22" xfId="17" applyFont="1" applyFill="1" applyBorder="1" applyAlignment="1">
      <alignment horizontal="right" vertical="center"/>
    </xf>
    <xf numFmtId="44" fontId="27" fillId="6" borderId="22" xfId="17" applyFont="1" applyFill="1" applyBorder="1" applyAlignment="1">
      <alignment horizontal="right" vertical="center"/>
    </xf>
    <xf numFmtId="4" fontId="34" fillId="6" borderId="22" xfId="0" applyNumberFormat="1" applyFont="1" applyFill="1" applyBorder="1" applyAlignment="1">
      <alignment horizontal="left" vertical="center" wrapText="1"/>
    </xf>
    <xf numFmtId="0" fontId="32" fillId="6" borderId="0" xfId="0" applyFont="1" applyFill="1" applyAlignment="1">
      <alignment vertical="center" wrapText="1"/>
    </xf>
    <xf numFmtId="0" fontId="27" fillId="6" borderId="22" xfId="0" applyFont="1" applyFill="1" applyBorder="1" applyAlignment="1">
      <alignment horizontal="right" vertical="center"/>
    </xf>
    <xf numFmtId="0" fontId="34" fillId="6" borderId="22" xfId="0" applyFont="1" applyFill="1" applyBorder="1" applyAlignment="1">
      <alignment horizontal="right" vertical="center"/>
    </xf>
    <xf numFmtId="4" fontId="34" fillId="6" borderId="22" xfId="0" applyNumberFormat="1" applyFont="1" applyFill="1" applyBorder="1" applyAlignment="1">
      <alignment horizontal="center" vertical="center"/>
    </xf>
    <xf numFmtId="44" fontId="35" fillId="6" borderId="22" xfId="17" applyFont="1" applyFill="1" applyBorder="1" applyAlignment="1">
      <alignment horizontal="right" vertical="center"/>
    </xf>
    <xf numFmtId="165" fontId="19" fillId="6" borderId="22" xfId="0" applyNumberFormat="1" applyFont="1" applyFill="1" applyBorder="1" applyAlignment="1">
      <alignment horizontal="center" vertical="center"/>
    </xf>
    <xf numFmtId="44" fontId="20" fillId="6" borderId="22" xfId="17" applyFont="1" applyFill="1" applyBorder="1" applyAlignment="1">
      <alignment vertical="center"/>
    </xf>
    <xf numFmtId="44" fontId="29" fillId="6" borderId="22" xfId="17" applyFont="1" applyFill="1" applyBorder="1" applyAlignment="1">
      <alignment vertical="center" wrapText="1"/>
    </xf>
    <xf numFmtId="0" fontId="20" fillId="6" borderId="22" xfId="0" applyFont="1" applyFill="1" applyBorder="1"/>
    <xf numFmtId="0" fontId="19" fillId="6" borderId="22" xfId="0" applyFont="1" applyFill="1" applyBorder="1"/>
    <xf numFmtId="0" fontId="19" fillId="6" borderId="22" xfId="0" applyFont="1" applyFill="1" applyBorder="1" applyAlignment="1">
      <alignment vertical="center"/>
    </xf>
    <xf numFmtId="44" fontId="19" fillId="6" borderId="22" xfId="17" applyFont="1" applyFill="1" applyBorder="1" applyAlignment="1">
      <alignment vertical="center"/>
    </xf>
    <xf numFmtId="4" fontId="19" fillId="6" borderId="22" xfId="0" applyNumberFormat="1" applyFont="1" applyFill="1" applyBorder="1" applyAlignment="1">
      <alignment wrapText="1"/>
    </xf>
    <xf numFmtId="0" fontId="20" fillId="6" borderId="22" xfId="0" applyFont="1" applyFill="1" applyBorder="1" applyAlignment="1">
      <alignment vertical="center"/>
    </xf>
    <xf numFmtId="44" fontId="19" fillId="0" borderId="0" xfId="17" applyFont="1" applyAlignment="1">
      <alignment vertical="center"/>
    </xf>
    <xf numFmtId="44" fontId="19" fillId="0" borderId="0" xfId="0" applyNumberFormat="1" applyFont="1"/>
    <xf numFmtId="43" fontId="19" fillId="6" borderId="0" xfId="0" applyNumberFormat="1" applyFont="1" applyFill="1"/>
    <xf numFmtId="43" fontId="20" fillId="6" borderId="0" xfId="0" applyNumberFormat="1" applyFont="1" applyFill="1"/>
    <xf numFmtId="3" fontId="20" fillId="0" borderId="22" xfId="12"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xf>
    <xf numFmtId="3" fontId="19" fillId="0" borderId="22" xfId="0" applyNumberFormat="1" applyFont="1" applyFill="1" applyBorder="1" applyAlignment="1">
      <alignment horizontal="right"/>
    </xf>
    <xf numFmtId="165" fontId="19" fillId="0" borderId="23" xfId="0" applyNumberFormat="1" applyFont="1" applyFill="1" applyBorder="1" applyAlignment="1">
      <alignment horizontal="right"/>
    </xf>
    <xf numFmtId="3" fontId="2" fillId="0" borderId="22" xfId="0" applyNumberFormat="1" applyFont="1" applyFill="1" applyBorder="1" applyAlignment="1">
      <alignment horizontal="right" vertical="center"/>
    </xf>
    <xf numFmtId="3" fontId="20" fillId="0" borderId="22" xfId="0" applyNumberFormat="1" applyFont="1" applyFill="1" applyBorder="1" applyAlignment="1">
      <alignment horizontal="right" vertical="center"/>
    </xf>
    <xf numFmtId="3" fontId="7" fillId="6" borderId="23" xfId="12" applyNumberFormat="1" applyFont="1" applyFill="1" applyBorder="1" applyAlignment="1">
      <alignment horizontal="right" vertical="center" wrapText="1"/>
    </xf>
    <xf numFmtId="3" fontId="19" fillId="6" borderId="1" xfId="0" applyNumberFormat="1" applyFont="1" applyFill="1" applyBorder="1" applyAlignment="1">
      <alignment horizontal="right"/>
    </xf>
    <xf numFmtId="165" fontId="19" fillId="6" borderId="23" xfId="0" applyNumberFormat="1" applyFont="1" applyFill="1" applyBorder="1" applyAlignment="1">
      <alignment horizontal="right"/>
    </xf>
    <xf numFmtId="3" fontId="19" fillId="6" borderId="22" xfId="0" applyNumberFormat="1" applyFont="1" applyFill="1" applyBorder="1" applyAlignment="1">
      <alignment horizontal="right" vertical="center"/>
    </xf>
    <xf numFmtId="3" fontId="19" fillId="6" borderId="22" xfId="0" applyNumberFormat="1" applyFont="1" applyFill="1" applyBorder="1" applyAlignment="1">
      <alignment horizontal="right"/>
    </xf>
    <xf numFmtId="165" fontId="20" fillId="6" borderId="23" xfId="0" applyNumberFormat="1" applyFont="1" applyFill="1" applyBorder="1" applyAlignment="1">
      <alignment horizontal="right"/>
    </xf>
    <xf numFmtId="165" fontId="20" fillId="6" borderId="21" xfId="0" applyNumberFormat="1" applyFont="1" applyFill="1" applyBorder="1" applyAlignment="1">
      <alignment horizontal="right"/>
    </xf>
    <xf numFmtId="1" fontId="22" fillId="6" borderId="24" xfId="0" applyNumberFormat="1" applyFont="1" applyFill="1" applyBorder="1" applyAlignment="1">
      <alignment horizontal="right" vertical="top" wrapText="1"/>
    </xf>
    <xf numFmtId="165" fontId="19" fillId="6" borderId="0" xfId="0" applyNumberFormat="1" applyFont="1" applyFill="1" applyBorder="1" applyAlignment="1">
      <alignment horizontal="right"/>
    </xf>
    <xf numFmtId="0" fontId="27" fillId="6" borderId="24" xfId="0" applyFont="1" applyFill="1" applyBorder="1" applyAlignment="1">
      <alignment horizontal="right" vertical="center"/>
    </xf>
    <xf numFmtId="3" fontId="19" fillId="0" borderId="23" xfId="0" applyNumberFormat="1" applyFont="1" applyFill="1" applyBorder="1" applyAlignment="1">
      <alignment horizontal="right"/>
    </xf>
    <xf numFmtId="165" fontId="27" fillId="6" borderId="22" xfId="0" applyNumberFormat="1" applyFont="1" applyFill="1" applyBorder="1" applyAlignment="1">
      <alignment horizontal="right" vertical="center"/>
    </xf>
    <xf numFmtId="165" fontId="34" fillId="6" borderId="22" xfId="0" applyNumberFormat="1" applyFont="1" applyFill="1" applyBorder="1" applyAlignment="1">
      <alignment horizontal="right" vertical="center"/>
    </xf>
    <xf numFmtId="3" fontId="20" fillId="6" borderId="22" xfId="0" applyNumberFormat="1" applyFont="1" applyFill="1" applyBorder="1" applyAlignment="1">
      <alignment horizontal="right" vertical="center"/>
    </xf>
    <xf numFmtId="0" fontId="29" fillId="6" borderId="22" xfId="0" applyFont="1" applyFill="1" applyBorder="1" applyAlignment="1">
      <alignment horizontal="right" vertical="center" wrapText="1"/>
    </xf>
    <xf numFmtId="0" fontId="19" fillId="0" borderId="0" xfId="0" applyFont="1" applyAlignment="1">
      <alignment horizontal="right" vertical="center"/>
    </xf>
    <xf numFmtId="0" fontId="20" fillId="6" borderId="22" xfId="0" applyFont="1" applyFill="1" applyBorder="1" applyAlignment="1">
      <alignment wrapText="1"/>
    </xf>
    <xf numFmtId="0" fontId="19" fillId="6" borderId="22" xfId="0" applyFont="1" applyFill="1" applyBorder="1" applyAlignment="1">
      <alignment wrapText="1"/>
    </xf>
    <xf numFmtId="0" fontId="19" fillId="0" borderId="0" xfId="0" applyFont="1" applyAlignment="1">
      <alignment wrapText="1"/>
    </xf>
    <xf numFmtId="43" fontId="24" fillId="6" borderId="13" xfId="0" applyNumberFormat="1" applyFont="1" applyFill="1" applyBorder="1" applyAlignment="1"/>
    <xf numFmtId="0" fontId="70" fillId="6" borderId="22" xfId="0" applyFont="1" applyFill="1" applyBorder="1" applyAlignment="1">
      <alignment horizontal="left" wrapText="1"/>
    </xf>
    <xf numFmtId="0" fontId="52" fillId="6" borderId="22" xfId="0" applyNumberFormat="1" applyFont="1" applyFill="1" applyBorder="1" applyAlignment="1">
      <alignment horizontal="right" vertical="top" wrapText="1"/>
    </xf>
    <xf numFmtId="0" fontId="52" fillId="6" borderId="22" xfId="0" applyNumberFormat="1" applyFont="1" applyFill="1" applyBorder="1" applyAlignment="1">
      <alignment vertical="top" wrapText="1"/>
    </xf>
    <xf numFmtId="0" fontId="52" fillId="6" borderId="22" xfId="0" applyNumberFormat="1" applyFont="1" applyFill="1" applyBorder="1" applyAlignment="1">
      <alignment horizontal="center" vertical="top" wrapText="1"/>
    </xf>
    <xf numFmtId="1" fontId="52" fillId="6" borderId="22" xfId="0" applyNumberFormat="1" applyFont="1" applyFill="1" applyBorder="1" applyAlignment="1">
      <alignment horizontal="right" vertical="top" wrapText="1"/>
    </xf>
    <xf numFmtId="0" fontId="21" fillId="6" borderId="0" xfId="0" applyNumberFormat="1" applyFont="1" applyFill="1" applyAlignment="1">
      <alignment vertical="top" wrapText="1"/>
    </xf>
    <xf numFmtId="0" fontId="21" fillId="8" borderId="0" xfId="0" applyNumberFormat="1" applyFont="1" applyFill="1" applyAlignment="1">
      <alignment vertical="top" wrapText="1"/>
    </xf>
    <xf numFmtId="0" fontId="21" fillId="8" borderId="0" xfId="0" applyFont="1" applyFill="1" applyAlignment="1">
      <alignment vertical="top" wrapText="1"/>
    </xf>
    <xf numFmtId="43" fontId="7" fillId="6" borderId="22" xfId="22" applyFont="1" applyFill="1" applyBorder="1" applyAlignment="1">
      <alignment horizontal="center" wrapText="1"/>
    </xf>
    <xf numFmtId="43" fontId="52" fillId="6" borderId="22" xfId="22" applyFont="1" applyFill="1" applyBorder="1" applyAlignment="1">
      <alignment horizontal="right" wrapText="1"/>
    </xf>
    <xf numFmtId="43" fontId="32" fillId="6" borderId="22" xfId="22" applyFont="1" applyFill="1" applyBorder="1" applyAlignment="1">
      <alignment horizontal="right" wrapText="1"/>
    </xf>
    <xf numFmtId="43" fontId="28" fillId="6" borderId="22" xfId="22" applyFont="1" applyFill="1" applyBorder="1" applyAlignment="1">
      <alignment horizontal="right"/>
    </xf>
    <xf numFmtId="43" fontId="34" fillId="6" borderId="22" xfId="22" applyFont="1" applyFill="1" applyBorder="1" applyAlignment="1">
      <alignment horizontal="right"/>
    </xf>
    <xf numFmtId="2" fontId="20" fillId="6" borderId="22" xfId="0" applyNumberFormat="1" applyFont="1" applyFill="1" applyBorder="1" applyAlignment="1">
      <alignment horizontal="right" vertical="center"/>
    </xf>
    <xf numFmtId="44" fontId="20" fillId="6" borderId="22" xfId="17" applyFont="1" applyFill="1" applyBorder="1" applyAlignment="1"/>
    <xf numFmtId="2" fontId="20" fillId="6" borderId="22" xfId="0" applyNumberFormat="1" applyFont="1" applyFill="1" applyBorder="1" applyAlignment="1">
      <alignment horizontal="right" vertical="center" wrapText="1"/>
    </xf>
    <xf numFmtId="43" fontId="19" fillId="6" borderId="22" xfId="4" applyFont="1" applyFill="1" applyBorder="1" applyAlignment="1">
      <alignment horizontal="center"/>
    </xf>
    <xf numFmtId="44" fontId="19" fillId="6" borderId="22" xfId="17" applyFont="1" applyFill="1" applyBorder="1" applyAlignment="1">
      <alignment horizontal="right"/>
    </xf>
    <xf numFmtId="0" fontId="19" fillId="6" borderId="22" xfId="11" applyFont="1" applyFill="1" applyBorder="1" applyAlignment="1">
      <alignment horizontal="right" vertical="center" wrapText="1"/>
    </xf>
    <xf numFmtId="165" fontId="20" fillId="6" borderId="22" xfId="0" applyNumberFormat="1" applyFont="1" applyFill="1" applyBorder="1" applyAlignment="1"/>
    <xf numFmtId="44" fontId="24" fillId="6" borderId="22" xfId="17" applyFont="1" applyFill="1" applyBorder="1" applyAlignment="1"/>
    <xf numFmtId="0" fontId="0" fillId="6" borderId="0" xfId="0" applyFont="1" applyFill="1"/>
    <xf numFmtId="0" fontId="0" fillId="6" borderId="22" xfId="0" applyFont="1" applyFill="1" applyBorder="1" applyAlignment="1">
      <alignment horizontal="right" vertical="center"/>
    </xf>
    <xf numFmtId="43" fontId="0" fillId="6" borderId="22" xfId="48" applyFont="1" applyFill="1" applyBorder="1" applyAlignment="1"/>
    <xf numFmtId="4" fontId="0" fillId="6" borderId="22" xfId="0" applyNumberFormat="1" applyFont="1" applyFill="1" applyBorder="1" applyAlignment="1">
      <alignment wrapText="1"/>
    </xf>
    <xf numFmtId="166" fontId="52" fillId="6" borderId="15" xfId="0" applyNumberFormat="1" applyFont="1" applyFill="1" applyBorder="1" applyAlignment="1">
      <alignment horizontal="right" vertical="center" wrapText="1"/>
    </xf>
    <xf numFmtId="0" fontId="21" fillId="6" borderId="22" xfId="0" applyFont="1" applyFill="1" applyBorder="1" applyAlignment="1">
      <alignment horizontal="right" vertical="center"/>
    </xf>
    <xf numFmtId="0" fontId="21" fillId="6" borderId="22" xfId="0" applyNumberFormat="1" applyFont="1" applyFill="1" applyBorder="1" applyAlignment="1">
      <alignment vertical="top" wrapText="1"/>
    </xf>
    <xf numFmtId="0" fontId="21" fillId="6" borderId="22" xfId="0" applyNumberFormat="1" applyFont="1" applyFill="1" applyBorder="1" applyAlignment="1">
      <alignment horizontal="center" vertical="top" wrapText="1"/>
    </xf>
    <xf numFmtId="1" fontId="21" fillId="6" borderId="22" xfId="0" applyNumberFormat="1" applyFont="1" applyFill="1" applyBorder="1" applyAlignment="1">
      <alignment horizontal="center" wrapText="1"/>
    </xf>
    <xf numFmtId="43" fontId="8" fillId="6" borderId="22" xfId="48" applyFont="1" applyFill="1" applyBorder="1" applyAlignment="1"/>
    <xf numFmtId="0" fontId="8" fillId="6" borderId="22" xfId="0" applyFont="1" applyFill="1" applyBorder="1" applyAlignment="1">
      <alignment vertical="center" wrapText="1"/>
    </xf>
    <xf numFmtId="3" fontId="8" fillId="6" borderId="22" xfId="0" applyNumberFormat="1" applyFont="1" applyFill="1" applyBorder="1" applyAlignment="1">
      <alignment horizontal="center"/>
    </xf>
    <xf numFmtId="0" fontId="8" fillId="6" borderId="22" xfId="0" applyFont="1" applyFill="1" applyBorder="1" applyAlignment="1">
      <alignment horizontal="center"/>
    </xf>
    <xf numFmtId="0" fontId="52" fillId="6" borderId="15" xfId="0" applyFont="1" applyFill="1" applyBorder="1" applyAlignment="1">
      <alignment horizontal="right" vertical="center"/>
    </xf>
    <xf numFmtId="0" fontId="52" fillId="6" borderId="22" xfId="0" applyFont="1" applyFill="1" applyBorder="1" applyAlignment="1">
      <alignment horizontal="right" vertical="center"/>
    </xf>
    <xf numFmtId="1" fontId="52" fillId="6" borderId="22" xfId="0" applyNumberFormat="1" applyFont="1" applyFill="1" applyBorder="1" applyAlignment="1">
      <alignment horizontal="center" wrapText="1"/>
    </xf>
    <xf numFmtId="0" fontId="53" fillId="6" borderId="22" xfId="0" applyFont="1" applyFill="1" applyBorder="1" applyAlignment="1">
      <alignment vertical="center" wrapText="1"/>
    </xf>
    <xf numFmtId="0" fontId="0" fillId="6" borderId="22" xfId="0" applyFont="1" applyFill="1" applyBorder="1" applyAlignment="1">
      <alignment horizontal="right" vertical="center" wrapText="1"/>
    </xf>
    <xf numFmtId="0" fontId="24" fillId="6" borderId="22" xfId="0" applyFont="1" applyFill="1" applyBorder="1" applyAlignment="1">
      <alignment horizontal="right" vertical="center" wrapText="1"/>
    </xf>
    <xf numFmtId="0" fontId="24" fillId="6" borderId="22" xfId="0" applyFont="1" applyFill="1" applyBorder="1" applyAlignment="1">
      <alignment horizontal="center" wrapText="1"/>
    </xf>
    <xf numFmtId="43" fontId="24" fillId="6" borderId="22" xfId="48" applyFont="1" applyFill="1" applyBorder="1" applyAlignment="1">
      <alignment wrapText="1"/>
    </xf>
    <xf numFmtId="0" fontId="24" fillId="0" borderId="0" xfId="0" applyFont="1"/>
    <xf numFmtId="4" fontId="7" fillId="6" borderId="15" xfId="0" applyNumberFormat="1" applyFont="1" applyFill="1" applyBorder="1" applyAlignment="1">
      <alignment horizontal="left" wrapText="1"/>
    </xf>
    <xf numFmtId="43" fontId="8" fillId="6" borderId="22" xfId="48" applyFont="1" applyFill="1" applyBorder="1" applyAlignment="1">
      <alignment wrapText="1"/>
    </xf>
    <xf numFmtId="0" fontId="24" fillId="0" borderId="15" xfId="0" applyFont="1" applyBorder="1" applyAlignment="1">
      <alignment vertical="center" wrapText="1"/>
    </xf>
    <xf numFmtId="43" fontId="6" fillId="6" borderId="22" xfId="48" applyFont="1" applyFill="1" applyBorder="1" applyAlignment="1"/>
    <xf numFmtId="0" fontId="21" fillId="6" borderId="22" xfId="0" applyNumberFormat="1" applyFont="1" applyFill="1" applyBorder="1" applyAlignment="1">
      <alignment horizontal="right" vertical="center" wrapText="1"/>
    </xf>
    <xf numFmtId="0" fontId="6" fillId="6" borderId="22" xfId="0" applyFont="1" applyFill="1" applyBorder="1" applyAlignment="1">
      <alignment horizontal="center" wrapText="1"/>
    </xf>
    <xf numFmtId="2" fontId="19" fillId="0" borderId="22" xfId="0" applyNumberFormat="1" applyFont="1" applyFill="1" applyBorder="1" applyAlignment="1">
      <alignment horizontal="right" vertical="center"/>
    </xf>
    <xf numFmtId="3" fontId="0" fillId="0" borderId="22" xfId="0" applyNumberFormat="1" applyFont="1" applyFill="1" applyBorder="1" applyAlignment="1">
      <alignment horizontal="center"/>
    </xf>
    <xf numFmtId="180" fontId="0" fillId="0" borderId="22" xfId="48" applyNumberFormat="1" applyFont="1" applyFill="1" applyBorder="1" applyAlignment="1"/>
    <xf numFmtId="0" fontId="0" fillId="0" borderId="22" xfId="0" applyFont="1" applyBorder="1" applyAlignment="1">
      <alignment horizontal="center" wrapText="1"/>
    </xf>
    <xf numFmtId="0" fontId="0" fillId="6" borderId="23" xfId="0" applyFont="1" applyFill="1" applyBorder="1" applyAlignment="1">
      <alignment horizontal="center"/>
    </xf>
    <xf numFmtId="0" fontId="25" fillId="0" borderId="23" xfId="5" applyFont="1" applyFill="1" applyBorder="1" applyAlignment="1">
      <alignment horizontal="left" wrapText="1"/>
    </xf>
    <xf numFmtId="0" fontId="27" fillId="6" borderId="29" xfId="5" applyFont="1" applyFill="1" applyBorder="1" applyAlignment="1">
      <alignment horizontal="right" vertical="center"/>
    </xf>
    <xf numFmtId="4" fontId="27" fillId="6" borderId="29" xfId="0" applyNumberFormat="1" applyFont="1" applyFill="1" applyBorder="1" applyAlignment="1">
      <alignment horizontal="left" wrapText="1"/>
    </xf>
    <xf numFmtId="3" fontId="27" fillId="6" borderId="29" xfId="0" applyNumberFormat="1" applyFont="1" applyFill="1" applyBorder="1" applyAlignment="1">
      <alignment horizontal="center"/>
    </xf>
    <xf numFmtId="0" fontId="20" fillId="0" borderId="29" xfId="9" applyFont="1" applyBorder="1" applyAlignment="1">
      <alignment horizontal="left" indent="1"/>
    </xf>
    <xf numFmtId="0" fontId="19" fillId="0" borderId="29" xfId="9" applyFont="1" applyBorder="1" applyAlignment="1">
      <alignment horizontal="left" wrapText="1"/>
    </xf>
    <xf numFmtId="44" fontId="19" fillId="0" borderId="29" xfId="29" applyFont="1" applyBorder="1" applyAlignment="1">
      <alignment horizontal="left"/>
    </xf>
    <xf numFmtId="0" fontId="20" fillId="0" borderId="29" xfId="0" applyFont="1" applyBorder="1" applyAlignment="1">
      <alignment horizontal="center" vertical="center" wrapText="1"/>
    </xf>
    <xf numFmtId="3" fontId="20" fillId="0" borderId="29" xfId="0" applyNumberFormat="1" applyFont="1" applyBorder="1" applyAlignment="1">
      <alignment horizontal="center" vertical="center" wrapText="1"/>
    </xf>
    <xf numFmtId="4" fontId="20" fillId="0" borderId="29" xfId="0" applyNumberFormat="1" applyFont="1" applyBorder="1" applyAlignment="1">
      <alignment horizontal="center" vertical="center" wrapText="1"/>
    </xf>
    <xf numFmtId="44" fontId="20" fillId="0" borderId="29" xfId="17" applyFont="1" applyBorder="1" applyAlignment="1">
      <alignment horizontal="center" vertical="center" wrapText="1"/>
    </xf>
    <xf numFmtId="0" fontId="20" fillId="0" borderId="0" xfId="0" applyFont="1" applyBorder="1" applyAlignment="1">
      <alignment horizontal="center" vertical="center" wrapText="1"/>
    </xf>
    <xf numFmtId="0" fontId="19" fillId="0" borderId="29" xfId="0" applyFont="1" applyBorder="1" applyAlignment="1">
      <alignment horizontal="center" vertical="center"/>
    </xf>
    <xf numFmtId="0" fontId="20" fillId="0" borderId="29" xfId="0" applyFont="1" applyBorder="1" applyAlignment="1">
      <alignment horizontal="left" vertical="center" wrapText="1"/>
    </xf>
    <xf numFmtId="0" fontId="20" fillId="0" borderId="29" xfId="0" applyFont="1" applyBorder="1" applyAlignment="1">
      <alignment horizontal="center" vertical="center"/>
    </xf>
    <xf numFmtId="3" fontId="20" fillId="0" borderId="29" xfId="0" applyNumberFormat="1" applyFont="1" applyBorder="1" applyAlignment="1">
      <alignment horizontal="center" vertical="center"/>
    </xf>
    <xf numFmtId="4" fontId="19" fillId="0" borderId="29" xfId="0" applyNumberFormat="1" applyFont="1" applyBorder="1" applyAlignment="1">
      <alignment horizontal="center" vertical="center"/>
    </xf>
    <xf numFmtId="44" fontId="20" fillId="0" borderId="29" xfId="17" applyFont="1" applyBorder="1" applyAlignment="1">
      <alignment horizontal="right" vertical="center"/>
    </xf>
    <xf numFmtId="4" fontId="20" fillId="0" borderId="0" xfId="0" applyNumberFormat="1" applyFont="1" applyBorder="1" applyAlignment="1">
      <alignment horizontal="center" vertical="center"/>
    </xf>
    <xf numFmtId="0" fontId="20" fillId="0" borderId="0" xfId="0" applyFont="1" applyBorder="1" applyAlignment="1">
      <alignment horizontal="center" vertical="center"/>
    </xf>
    <xf numFmtId="0" fontId="25" fillId="0" borderId="29" xfId="0" applyFont="1" applyFill="1" applyBorder="1" applyAlignment="1">
      <alignment horizontal="left" wrapText="1"/>
    </xf>
    <xf numFmtId="0" fontId="19" fillId="0" borderId="29" xfId="0" applyFont="1" applyFill="1" applyBorder="1" applyAlignment="1">
      <alignment horizontal="center"/>
    </xf>
    <xf numFmtId="4" fontId="19" fillId="0" borderId="29" xfId="0" applyNumberFormat="1" applyFont="1" applyFill="1" applyBorder="1" applyAlignment="1">
      <alignment horizontal="center"/>
    </xf>
    <xf numFmtId="3" fontId="19" fillId="0" borderId="29" xfId="0" applyNumberFormat="1" applyFont="1" applyFill="1" applyBorder="1" applyAlignment="1">
      <alignment horizontal="center"/>
    </xf>
    <xf numFmtId="44" fontId="19" fillId="0" borderId="29" xfId="17" applyFont="1" applyFill="1" applyBorder="1" applyAlignment="1">
      <alignment horizontal="right"/>
    </xf>
    <xf numFmtId="0" fontId="19" fillId="0" borderId="29" xfId="0" applyFont="1" applyFill="1" applyBorder="1" applyAlignment="1">
      <alignment horizontal="left" wrapText="1"/>
    </xf>
    <xf numFmtId="44" fontId="19" fillId="0" borderId="29" xfId="17" applyFont="1" applyBorder="1" applyAlignment="1">
      <alignment horizontal="right"/>
    </xf>
    <xf numFmtId="9" fontId="71" fillId="0" borderId="0" xfId="78" applyFont="1" applyFill="1" applyAlignment="1"/>
    <xf numFmtId="10" fontId="19" fillId="0" borderId="0" xfId="0" applyNumberFormat="1" applyFont="1" applyFill="1" applyAlignment="1"/>
    <xf numFmtId="4" fontId="26" fillId="0" borderId="29" xfId="0" applyNumberFormat="1" applyFont="1" applyFill="1" applyBorder="1" applyAlignment="1">
      <alignment horizontal="center"/>
    </xf>
    <xf numFmtId="44" fontId="25" fillId="0" borderId="29" xfId="17" applyFont="1" applyFill="1" applyBorder="1" applyAlignment="1">
      <alignment horizontal="right"/>
    </xf>
    <xf numFmtId="0" fontId="20" fillId="0" borderId="29" xfId="0" applyFont="1" applyFill="1" applyBorder="1" applyAlignment="1">
      <alignment horizontal="left" wrapText="1"/>
    </xf>
    <xf numFmtId="3" fontId="20" fillId="0" borderId="29" xfId="0" applyNumberFormat="1" applyFont="1" applyFill="1" applyBorder="1" applyAlignment="1">
      <alignment horizontal="center"/>
    </xf>
    <xf numFmtId="44" fontId="20" fillId="0" borderId="29" xfId="17" applyFont="1" applyFill="1" applyBorder="1" applyAlignment="1">
      <alignment horizontal="right"/>
    </xf>
    <xf numFmtId="44" fontId="19" fillId="0" borderId="0" xfId="17" applyFont="1" applyFill="1" applyBorder="1" applyAlignment="1">
      <alignment horizontal="right"/>
    </xf>
    <xf numFmtId="44" fontId="19" fillId="0" borderId="0" xfId="17" applyFont="1" applyFill="1" applyAlignment="1">
      <alignment horizontal="right"/>
    </xf>
    <xf numFmtId="0" fontId="8" fillId="6" borderId="30" xfId="0" applyFont="1" applyFill="1" applyBorder="1" applyAlignment="1"/>
    <xf numFmtId="165" fontId="19" fillId="6" borderId="31" xfId="0" applyNumberFormat="1" applyFont="1" applyFill="1" applyBorder="1" applyAlignment="1">
      <alignment horizontal="center"/>
    </xf>
    <xf numFmtId="0" fontId="6" fillId="6" borderId="29" xfId="0" applyFont="1" applyFill="1" applyBorder="1" applyAlignment="1">
      <alignment horizontal="right" vertical="center"/>
    </xf>
    <xf numFmtId="0" fontId="6" fillId="6" borderId="29" xfId="0" applyFont="1" applyFill="1" applyBorder="1" applyAlignment="1">
      <alignment horizontal="center" vertical="center" wrapText="1"/>
    </xf>
    <xf numFmtId="0" fontId="6" fillId="6" borderId="29" xfId="0" applyFont="1" applyFill="1" applyBorder="1" applyAlignment="1">
      <alignment horizontal="center" vertical="center"/>
    </xf>
    <xf numFmtId="3" fontId="7" fillId="6" borderId="29" xfId="12" applyNumberFormat="1" applyFont="1" applyFill="1" applyBorder="1" applyAlignment="1">
      <alignment horizontal="center" vertical="center" wrapText="1"/>
    </xf>
    <xf numFmtId="165" fontId="7" fillId="6" borderId="29" xfId="12" applyNumberFormat="1" applyFont="1" applyFill="1" applyBorder="1" applyAlignment="1">
      <alignment horizontal="center" vertical="center" wrapText="1"/>
    </xf>
    <xf numFmtId="43" fontId="7" fillId="6" borderId="29" xfId="22" applyFont="1" applyFill="1" applyBorder="1" applyAlignment="1">
      <alignment horizontal="center" vertical="center" wrapText="1"/>
    </xf>
    <xf numFmtId="0" fontId="8" fillId="6" borderId="29" xfId="0" applyFont="1" applyFill="1" applyBorder="1" applyAlignment="1">
      <alignment horizontal="right" vertical="center"/>
    </xf>
    <xf numFmtId="0" fontId="10" fillId="6" borderId="29" xfId="0" applyFont="1" applyFill="1" applyBorder="1" applyAlignment="1">
      <alignment horizontal="left" wrapText="1"/>
    </xf>
    <xf numFmtId="0" fontId="10" fillId="6" borderId="29" xfId="0" applyFont="1" applyFill="1" applyBorder="1" applyAlignment="1">
      <alignment horizontal="center" vertical="center"/>
    </xf>
    <xf numFmtId="3" fontId="9" fillId="6" borderId="29" xfId="0" applyNumberFormat="1" applyFont="1" applyFill="1" applyBorder="1" applyAlignment="1">
      <alignment horizontal="center" vertical="center"/>
    </xf>
    <xf numFmtId="165" fontId="9" fillId="6" borderId="29" xfId="0" applyNumberFormat="1" applyFont="1" applyFill="1" applyBorder="1" applyAlignment="1"/>
    <xf numFmtId="43" fontId="8" fillId="6" borderId="29" xfId="22" applyFont="1" applyFill="1" applyBorder="1" applyAlignment="1"/>
    <xf numFmtId="0" fontId="20" fillId="6" borderId="29" xfId="0" applyFont="1" applyFill="1" applyBorder="1" applyAlignment="1">
      <alignment horizontal="right"/>
    </xf>
    <xf numFmtId="0" fontId="25" fillId="6" borderId="29" xfId="0" applyFont="1" applyFill="1" applyBorder="1" applyAlignment="1">
      <alignment horizontal="left" wrapText="1"/>
    </xf>
    <xf numFmtId="4" fontId="19" fillId="6" borderId="29" xfId="0" applyNumberFormat="1" applyFont="1" applyFill="1" applyBorder="1" applyAlignment="1">
      <alignment horizontal="center"/>
    </xf>
    <xf numFmtId="3" fontId="19" fillId="6" borderId="29" xfId="0" applyNumberFormat="1" applyFont="1" applyFill="1" applyBorder="1" applyAlignment="1">
      <alignment horizontal="center"/>
    </xf>
    <xf numFmtId="165" fontId="19" fillId="6" borderId="29" xfId="0" applyNumberFormat="1" applyFont="1" applyFill="1" applyBorder="1" applyAlignment="1">
      <alignment horizontal="center"/>
    </xf>
    <xf numFmtId="43" fontId="19" fillId="6" borderId="29" xfId="22" applyFont="1" applyFill="1" applyBorder="1" applyAlignment="1"/>
    <xf numFmtId="0" fontId="7" fillId="6" borderId="29" xfId="0" applyFont="1" applyFill="1" applyBorder="1" applyAlignment="1">
      <alignment horizontal="right"/>
    </xf>
    <xf numFmtId="4" fontId="9" fillId="6" borderId="29" xfId="0" applyNumberFormat="1" applyFont="1" applyFill="1" applyBorder="1" applyAlignment="1">
      <alignment horizontal="center"/>
    </xf>
    <xf numFmtId="3" fontId="9" fillId="6" borderId="29" xfId="0" applyNumberFormat="1" applyFont="1" applyFill="1" applyBorder="1" applyAlignment="1">
      <alignment horizontal="center"/>
    </xf>
    <xf numFmtId="165" fontId="9" fillId="6" borderId="29" xfId="0" applyNumberFormat="1" applyFont="1" applyFill="1" applyBorder="1" applyAlignment="1">
      <alignment horizontal="center"/>
    </xf>
    <xf numFmtId="43" fontId="9" fillId="6" borderId="29" xfId="22" applyFont="1" applyFill="1" applyBorder="1" applyAlignment="1"/>
    <xf numFmtId="0" fontId="9" fillId="6" borderId="29" xfId="0" applyFont="1" applyFill="1" applyBorder="1" applyAlignment="1">
      <alignment horizontal="right"/>
    </xf>
    <xf numFmtId="0" fontId="9" fillId="6" borderId="29" xfId="0" applyFont="1" applyFill="1" applyBorder="1" applyAlignment="1">
      <alignment horizontal="left" wrapText="1"/>
    </xf>
    <xf numFmtId="0" fontId="19" fillId="6" borderId="29" xfId="0" applyFont="1" applyFill="1" applyBorder="1" applyAlignment="1">
      <alignment horizontal="right" vertical="center"/>
    </xf>
    <xf numFmtId="0" fontId="19" fillId="6" borderId="29" xfId="0" applyFont="1" applyFill="1" applyBorder="1" applyAlignment="1">
      <alignment horizontal="left" wrapText="1"/>
    </xf>
    <xf numFmtId="43" fontId="19" fillId="6" borderId="29" xfId="4" applyNumberFormat="1" applyFont="1" applyFill="1" applyBorder="1" applyAlignment="1"/>
    <xf numFmtId="0" fontId="19" fillId="6" borderId="29" xfId="0" applyFont="1" applyFill="1" applyBorder="1" applyAlignment="1">
      <alignment horizontal="right"/>
    </xf>
    <xf numFmtId="43" fontId="19" fillId="6" borderId="29" xfId="22" applyFont="1" applyFill="1" applyBorder="1" applyAlignment="1">
      <alignment horizontal="right"/>
    </xf>
    <xf numFmtId="0" fontId="8" fillId="6" borderId="29" xfId="0" applyFont="1" applyFill="1" applyBorder="1" applyAlignment="1">
      <alignment horizontal="right"/>
    </xf>
    <xf numFmtId="0" fontId="19" fillId="6" borderId="29" xfId="0" applyFont="1" applyFill="1" applyBorder="1" applyAlignment="1">
      <alignment horizontal="center"/>
    </xf>
    <xf numFmtId="0" fontId="26" fillId="6" borderId="29" xfId="0" applyFont="1" applyFill="1" applyBorder="1" applyAlignment="1">
      <alignment horizontal="left" wrapText="1"/>
    </xf>
    <xf numFmtId="43" fontId="19" fillId="6" borderId="29" xfId="4" applyFont="1" applyFill="1" applyBorder="1" applyAlignment="1">
      <alignment horizontal="right"/>
    </xf>
    <xf numFmtId="0" fontId="20" fillId="6" borderId="29" xfId="0" applyFont="1" applyFill="1" applyBorder="1" applyAlignment="1">
      <alignment horizontal="left" wrapText="1"/>
    </xf>
    <xf numFmtId="0" fontId="7" fillId="6" borderId="29" xfId="0" applyFont="1" applyFill="1" applyBorder="1" applyAlignment="1">
      <alignment horizontal="left" wrapText="1"/>
    </xf>
    <xf numFmtId="3" fontId="7" fillId="6" borderId="29" xfId="0" applyNumberFormat="1" applyFont="1" applyFill="1" applyBorder="1" applyAlignment="1">
      <alignment horizontal="center"/>
    </xf>
    <xf numFmtId="165" fontId="7" fillId="6" borderId="29" xfId="0" applyNumberFormat="1" applyFont="1" applyFill="1" applyBorder="1" applyAlignment="1">
      <alignment horizontal="center"/>
    </xf>
    <xf numFmtId="43" fontId="7" fillId="6" borderId="29" xfId="22" applyFont="1" applyFill="1" applyBorder="1" applyAlignment="1"/>
    <xf numFmtId="0" fontId="20" fillId="6" borderId="29" xfId="0" applyFont="1" applyFill="1" applyBorder="1" applyAlignment="1">
      <alignment horizontal="right" vertical="center"/>
    </xf>
    <xf numFmtId="43" fontId="20" fillId="6" borderId="29" xfId="48" applyFont="1" applyFill="1" applyBorder="1" applyAlignment="1"/>
    <xf numFmtId="0" fontId="2" fillId="6" borderId="29" xfId="0" applyFont="1" applyFill="1" applyBorder="1" applyAlignment="1">
      <alignment horizontal="center"/>
    </xf>
    <xf numFmtId="0" fontId="0" fillId="6" borderId="29" xfId="0" applyFont="1" applyFill="1" applyBorder="1" applyAlignment="1">
      <alignment horizontal="left" wrapText="1"/>
    </xf>
    <xf numFmtId="4" fontId="2" fillId="6" borderId="29" xfId="0" applyNumberFormat="1" applyFont="1" applyFill="1" applyBorder="1" applyAlignment="1">
      <alignment horizontal="center"/>
    </xf>
    <xf numFmtId="43" fontId="2" fillId="6" borderId="29" xfId="4" applyFont="1" applyFill="1" applyBorder="1" applyAlignment="1">
      <alignment horizontal="right"/>
    </xf>
    <xf numFmtId="4" fontId="20" fillId="6" borderId="29" xfId="0" applyNumberFormat="1" applyFont="1" applyFill="1" applyBorder="1" applyAlignment="1">
      <alignment horizontal="center"/>
    </xf>
    <xf numFmtId="165" fontId="20" fillId="6" borderId="29" xfId="0" applyNumberFormat="1" applyFont="1" applyFill="1" applyBorder="1" applyAlignment="1">
      <alignment horizontal="center"/>
    </xf>
    <xf numFmtId="43" fontId="20" fillId="6" borderId="29" xfId="4" applyFont="1" applyFill="1" applyBorder="1" applyAlignment="1">
      <alignment horizontal="right"/>
    </xf>
    <xf numFmtId="0" fontId="20" fillId="6" borderId="29" xfId="0" applyFont="1" applyFill="1" applyBorder="1" applyAlignment="1">
      <alignment horizontal="center"/>
    </xf>
    <xf numFmtId="0" fontId="26" fillId="6" borderId="29" xfId="5" applyFont="1" applyFill="1" applyBorder="1" applyAlignment="1">
      <alignment horizontal="left" wrapText="1"/>
    </xf>
    <xf numFmtId="1" fontId="22" fillId="6" borderId="29" xfId="0" applyNumberFormat="1" applyFont="1" applyFill="1" applyBorder="1" applyAlignment="1">
      <alignment horizontal="center" vertical="top" wrapText="1"/>
    </xf>
    <xf numFmtId="0" fontId="31" fillId="6" borderId="29" xfId="0" applyNumberFormat="1" applyFont="1" applyFill="1" applyBorder="1" applyAlignment="1">
      <alignment horizontal="right" vertical="top" wrapText="1"/>
    </xf>
    <xf numFmtId="0" fontId="31" fillId="6" borderId="29" xfId="0" applyNumberFormat="1" applyFont="1" applyFill="1" applyBorder="1" applyAlignment="1">
      <alignment vertical="top" wrapText="1"/>
    </xf>
    <xf numFmtId="0" fontId="31" fillId="6" borderId="29" xfId="0" applyNumberFormat="1" applyFont="1" applyFill="1" applyBorder="1" applyAlignment="1">
      <alignment horizontal="center" vertical="top" wrapText="1"/>
    </xf>
    <xf numFmtId="1" fontId="31" fillId="6" borderId="29" xfId="0" applyNumberFormat="1" applyFont="1" applyFill="1" applyBorder="1" applyAlignment="1">
      <alignment horizontal="right" vertical="top" wrapText="1"/>
    </xf>
    <xf numFmtId="43" fontId="31" fillId="6" borderId="29" xfId="22" applyFont="1" applyFill="1" applyBorder="1" applyAlignment="1">
      <alignment horizontal="right" vertical="top" wrapText="1"/>
    </xf>
    <xf numFmtId="0" fontId="51" fillId="6" borderId="29" xfId="0" applyNumberFormat="1" applyFont="1" applyFill="1" applyBorder="1" applyAlignment="1">
      <alignment vertical="top" wrapText="1"/>
    </xf>
    <xf numFmtId="0" fontId="32" fillId="6" borderId="29" xfId="0" applyNumberFormat="1" applyFont="1" applyFill="1" applyBorder="1" applyAlignment="1">
      <alignment horizontal="center" vertical="top" wrapText="1"/>
    </xf>
    <xf numFmtId="1" fontId="32" fillId="6" borderId="29" xfId="0" applyNumberFormat="1" applyFont="1" applyFill="1" applyBorder="1" applyAlignment="1">
      <alignment horizontal="right" vertical="top" wrapText="1"/>
    </xf>
    <xf numFmtId="43" fontId="32" fillId="6" borderId="29" xfId="22" applyFont="1" applyFill="1" applyBorder="1" applyAlignment="1">
      <alignment horizontal="right" vertical="top" wrapText="1"/>
    </xf>
    <xf numFmtId="0" fontId="32" fillId="6" borderId="29" xfId="0" applyFont="1" applyFill="1" applyBorder="1" applyAlignment="1">
      <alignment horizontal="right" wrapText="1"/>
    </xf>
    <xf numFmtId="0" fontId="31" fillId="6" borderId="29" xfId="0" applyFont="1" applyFill="1" applyBorder="1" applyAlignment="1">
      <alignment wrapText="1"/>
    </xf>
    <xf numFmtId="0" fontId="32" fillId="6" borderId="29" xfId="0" applyFont="1" applyFill="1" applyBorder="1" applyAlignment="1">
      <alignment wrapText="1"/>
    </xf>
    <xf numFmtId="43" fontId="32" fillId="6" borderId="29" xfId="22" applyFont="1" applyFill="1" applyBorder="1" applyAlignment="1">
      <alignment wrapText="1"/>
    </xf>
    <xf numFmtId="0" fontId="32" fillId="6" borderId="29" xfId="0" applyNumberFormat="1" applyFont="1" applyFill="1" applyBorder="1" applyAlignment="1">
      <alignment horizontal="right" vertical="top" wrapText="1"/>
    </xf>
    <xf numFmtId="0" fontId="32" fillId="6" borderId="29" xfId="0" applyNumberFormat="1" applyFont="1" applyFill="1" applyBorder="1" applyAlignment="1">
      <alignment vertical="top" wrapText="1"/>
    </xf>
    <xf numFmtId="0" fontId="33" fillId="6" borderId="29" xfId="0" applyFont="1" applyFill="1" applyBorder="1" applyAlignment="1">
      <alignment wrapText="1"/>
    </xf>
    <xf numFmtId="43" fontId="28" fillId="6" borderId="29" xfId="22" applyFont="1" applyFill="1" applyBorder="1" applyAlignment="1">
      <alignment horizontal="right" vertical="center"/>
    </xf>
    <xf numFmtId="2" fontId="31" fillId="6" borderId="29" xfId="0" applyNumberFormat="1" applyFont="1" applyFill="1" applyBorder="1" applyAlignment="1">
      <alignment horizontal="right" wrapText="1"/>
    </xf>
    <xf numFmtId="0" fontId="31" fillId="6" borderId="29" xfId="0" applyFont="1" applyFill="1" applyBorder="1" applyAlignment="1">
      <alignment horizontal="right" wrapText="1"/>
    </xf>
    <xf numFmtId="0" fontId="33" fillId="6" borderId="29" xfId="0" applyFont="1" applyFill="1" applyBorder="1" applyAlignment="1">
      <alignment horizontal="right" wrapText="1"/>
    </xf>
    <xf numFmtId="166" fontId="31" fillId="6" borderId="29" xfId="0" applyNumberFormat="1" applyFont="1" applyFill="1" applyBorder="1" applyAlignment="1">
      <alignment horizontal="right" vertical="top" wrapText="1"/>
    </xf>
    <xf numFmtId="0" fontId="32" fillId="6" borderId="29" xfId="0" applyFont="1" applyFill="1" applyBorder="1" applyAlignment="1">
      <alignment horizontal="right"/>
    </xf>
    <xf numFmtId="0" fontId="31" fillId="6" borderId="29" xfId="0" applyFont="1" applyFill="1" applyBorder="1" applyAlignment="1">
      <alignment horizontal="right"/>
    </xf>
    <xf numFmtId="3" fontId="20" fillId="6" borderId="29" xfId="0" applyNumberFormat="1" applyFont="1" applyFill="1" applyBorder="1" applyAlignment="1">
      <alignment horizontal="center"/>
    </xf>
    <xf numFmtId="0" fontId="28" fillId="6" borderId="29" xfId="0" applyFont="1" applyFill="1" applyBorder="1" applyAlignment="1">
      <alignment horizontal="right" vertical="center"/>
    </xf>
    <xf numFmtId="0" fontId="28" fillId="6" borderId="29" xfId="0" applyFont="1" applyFill="1" applyBorder="1" applyAlignment="1">
      <alignment vertical="center" wrapText="1"/>
    </xf>
    <xf numFmtId="0" fontId="33" fillId="6" borderId="29" xfId="0" applyFont="1" applyFill="1" applyBorder="1" applyAlignment="1">
      <alignment horizontal="right" vertical="center"/>
    </xf>
    <xf numFmtId="0" fontId="33" fillId="6" borderId="29" xfId="0" applyFont="1" applyFill="1" applyBorder="1" applyAlignment="1">
      <alignment vertical="center" wrapText="1"/>
    </xf>
    <xf numFmtId="0" fontId="33" fillId="6" borderId="29" xfId="0" applyFont="1" applyFill="1" applyBorder="1" applyAlignment="1">
      <alignment horizontal="center" vertical="center"/>
    </xf>
    <xf numFmtId="43" fontId="33" fillId="6" borderId="29" xfId="22" applyFont="1" applyFill="1" applyBorder="1" applyAlignment="1">
      <alignment horizontal="right" vertical="center"/>
    </xf>
    <xf numFmtId="0" fontId="34" fillId="6" borderId="29" xfId="0" applyFont="1" applyFill="1" applyBorder="1" applyAlignment="1">
      <alignment horizontal="right"/>
    </xf>
    <xf numFmtId="0" fontId="35" fillId="6" borderId="29" xfId="0" applyFont="1" applyFill="1" applyBorder="1" applyAlignment="1">
      <alignment horizontal="left" wrapText="1"/>
    </xf>
    <xf numFmtId="3" fontId="35" fillId="6" borderId="29" xfId="0" applyNumberFormat="1" applyFont="1" applyFill="1" applyBorder="1" applyAlignment="1">
      <alignment horizontal="center"/>
    </xf>
    <xf numFmtId="165" fontId="35" fillId="6" borderId="29" xfId="0" applyNumberFormat="1" applyFont="1" applyFill="1" applyBorder="1" applyAlignment="1">
      <alignment horizontal="center"/>
    </xf>
    <xf numFmtId="4" fontId="35" fillId="6" borderId="29" xfId="0" applyNumberFormat="1" applyFont="1" applyFill="1" applyBorder="1" applyAlignment="1">
      <alignment horizontal="center"/>
    </xf>
    <xf numFmtId="43" fontId="27" fillId="6" borderId="29" xfId="22" applyFont="1" applyFill="1" applyBorder="1" applyAlignment="1">
      <alignment horizontal="right" indent="1"/>
    </xf>
    <xf numFmtId="0" fontId="34" fillId="6" borderId="29" xfId="5" applyFont="1" applyFill="1" applyBorder="1" applyAlignment="1">
      <alignment horizontal="right" vertical="center"/>
    </xf>
    <xf numFmtId="4" fontId="35" fillId="6" borderId="29" xfId="0" applyNumberFormat="1" applyFont="1" applyFill="1" applyBorder="1" applyAlignment="1">
      <alignment horizontal="left" wrapText="1"/>
    </xf>
    <xf numFmtId="4" fontId="34" fillId="6" borderId="29" xfId="0" applyNumberFormat="1" applyFont="1" applyFill="1" applyBorder="1" applyAlignment="1">
      <alignment horizontal="center"/>
    </xf>
    <xf numFmtId="165" fontId="34" fillId="6" borderId="29" xfId="0" applyNumberFormat="1" applyFont="1" applyFill="1" applyBorder="1" applyAlignment="1">
      <alignment horizontal="center"/>
    </xf>
    <xf numFmtId="43" fontId="34" fillId="6" borderId="29" xfId="22" applyFont="1" applyFill="1" applyBorder="1" applyAlignment="1">
      <alignment horizontal="right" indent="1"/>
    </xf>
    <xf numFmtId="4" fontId="34" fillId="6" borderId="29" xfId="0" applyNumberFormat="1" applyFont="1" applyFill="1" applyBorder="1" applyAlignment="1">
      <alignment horizontal="left" wrapText="1"/>
    </xf>
    <xf numFmtId="165" fontId="27" fillId="6" borderId="29" xfId="0" applyNumberFormat="1" applyFont="1" applyFill="1" applyBorder="1" applyAlignment="1">
      <alignment horizontal="center"/>
    </xf>
    <xf numFmtId="4" fontId="27" fillId="6" borderId="29" xfId="0" applyNumberFormat="1" applyFont="1" applyFill="1" applyBorder="1" applyAlignment="1">
      <alignment horizontal="center"/>
    </xf>
    <xf numFmtId="3" fontId="27" fillId="6" borderId="29" xfId="0" applyNumberFormat="1" applyFont="1" applyFill="1" applyBorder="1" applyAlignment="1">
      <alignment horizontal="left" wrapText="1"/>
    </xf>
    <xf numFmtId="3" fontId="35" fillId="6" borderId="29" xfId="0" applyNumberFormat="1" applyFont="1" applyFill="1" applyBorder="1" applyAlignment="1">
      <alignment horizontal="left" wrapText="1"/>
    </xf>
    <xf numFmtId="0" fontId="32" fillId="6" borderId="29" xfId="0" applyFont="1" applyFill="1" applyBorder="1" applyAlignment="1">
      <alignment vertical="center" wrapText="1"/>
    </xf>
    <xf numFmtId="3" fontId="34" fillId="6" borderId="29" xfId="0" applyNumberFormat="1" applyFont="1" applyFill="1" applyBorder="1" applyAlignment="1">
      <alignment horizontal="center"/>
    </xf>
    <xf numFmtId="166" fontId="34" fillId="6" borderId="29" xfId="5" applyNumberFormat="1" applyFont="1" applyFill="1" applyBorder="1" applyAlignment="1">
      <alignment horizontal="right" vertical="center"/>
    </xf>
    <xf numFmtId="0" fontId="27" fillId="6" borderId="29" xfId="0" applyFont="1" applyFill="1" applyBorder="1" applyAlignment="1">
      <alignment horizontal="right"/>
    </xf>
    <xf numFmtId="0" fontId="27" fillId="6" borderId="29" xfId="0" applyFont="1" applyFill="1" applyBorder="1" applyAlignment="1">
      <alignment horizontal="center"/>
    </xf>
    <xf numFmtId="0" fontId="27" fillId="6" borderId="29" xfId="0" applyFont="1" applyFill="1" applyBorder="1" applyAlignment="1">
      <alignment horizontal="left" wrapText="1"/>
    </xf>
    <xf numFmtId="0" fontId="34" fillId="6" borderId="29" xfId="0" applyFont="1" applyFill="1" applyBorder="1" applyAlignment="1">
      <alignment horizontal="left" wrapText="1"/>
    </xf>
    <xf numFmtId="0" fontId="34" fillId="6" borderId="29" xfId="0" applyFont="1" applyFill="1" applyBorder="1" applyAlignment="1">
      <alignment horizontal="center"/>
    </xf>
    <xf numFmtId="0" fontId="35" fillId="6" borderId="29" xfId="0" applyFont="1" applyFill="1" applyBorder="1" applyAlignment="1"/>
    <xf numFmtId="0" fontId="7" fillId="6" borderId="29" xfId="0" applyFont="1" applyFill="1" applyBorder="1" applyAlignment="1">
      <alignment horizontal="center"/>
    </xf>
    <xf numFmtId="4" fontId="7" fillId="6" borderId="29" xfId="0" applyNumberFormat="1" applyFont="1" applyFill="1" applyBorder="1" applyAlignment="1">
      <alignment horizontal="center"/>
    </xf>
    <xf numFmtId="43" fontId="7" fillId="6" borderId="29" xfId="22" applyFont="1" applyFill="1" applyBorder="1" applyAlignment="1">
      <alignment horizontal="right"/>
    </xf>
    <xf numFmtId="43" fontId="10" fillId="6" borderId="29" xfId="22" applyFont="1" applyFill="1" applyBorder="1" applyAlignment="1">
      <alignment horizontal="right"/>
    </xf>
    <xf numFmtId="0" fontId="9" fillId="6" borderId="29" xfId="0" applyFont="1" applyFill="1" applyBorder="1" applyAlignment="1">
      <alignment horizontal="center"/>
    </xf>
    <xf numFmtId="43" fontId="12" fillId="6" borderId="29" xfId="22" applyFont="1" applyFill="1" applyBorder="1" applyAlignment="1">
      <alignment horizontal="right"/>
    </xf>
    <xf numFmtId="43" fontId="9" fillId="6" borderId="29" xfId="22" applyFont="1" applyFill="1" applyBorder="1" applyAlignment="1">
      <alignment horizontal="right"/>
    </xf>
    <xf numFmtId="43" fontId="27" fillId="6" borderId="29" xfId="22" applyFont="1" applyFill="1" applyBorder="1" applyAlignment="1">
      <alignment horizontal="right"/>
    </xf>
    <xf numFmtId="43" fontId="54" fillId="6" borderId="29" xfId="22" applyFont="1" applyFill="1" applyBorder="1" applyAlignment="1">
      <alignment horizontal="right"/>
    </xf>
    <xf numFmtId="0" fontId="48" fillId="6" borderId="29" xfId="0" applyFont="1" applyFill="1" applyBorder="1" applyAlignment="1">
      <alignment horizontal="left" wrapText="1"/>
    </xf>
    <xf numFmtId="4" fontId="70" fillId="6" borderId="29" xfId="0" applyNumberFormat="1" applyFont="1" applyFill="1" applyBorder="1" applyAlignment="1">
      <alignment horizontal="center"/>
    </xf>
    <xf numFmtId="3" fontId="70" fillId="6" borderId="29" xfId="0" applyNumberFormat="1" applyFont="1" applyFill="1" applyBorder="1" applyAlignment="1">
      <alignment horizontal="center"/>
    </xf>
    <xf numFmtId="165" fontId="70" fillId="6" borderId="29" xfId="0" applyNumberFormat="1" applyFont="1" applyFill="1" applyBorder="1" applyAlignment="1">
      <alignment horizontal="center"/>
    </xf>
    <xf numFmtId="43" fontId="50" fillId="6" borderId="29" xfId="22" applyFont="1" applyFill="1" applyBorder="1" applyAlignment="1"/>
    <xf numFmtId="4" fontId="49" fillId="6" borderId="29" xfId="0" applyNumberFormat="1" applyFont="1" applyFill="1" applyBorder="1" applyAlignment="1">
      <alignment horizontal="center"/>
    </xf>
    <xf numFmtId="3" fontId="49" fillId="6" borderId="29" xfId="0" applyNumberFormat="1" applyFont="1" applyFill="1" applyBorder="1" applyAlignment="1">
      <alignment horizontal="center"/>
    </xf>
    <xf numFmtId="165" fontId="49" fillId="6" borderId="29" xfId="0" applyNumberFormat="1" applyFont="1" applyFill="1" applyBorder="1" applyAlignment="1">
      <alignment horizontal="center"/>
    </xf>
    <xf numFmtId="3" fontId="22" fillId="6" borderId="29" xfId="0" applyNumberFormat="1" applyFont="1" applyFill="1" applyBorder="1" applyAlignment="1">
      <alignment horizontal="center" vertical="top" wrapText="1"/>
    </xf>
    <xf numFmtId="2" fontId="34" fillId="6" borderId="22" xfId="0" applyNumberFormat="1" applyFont="1" applyFill="1" applyBorder="1" applyAlignment="1">
      <alignment horizontal="right"/>
    </xf>
    <xf numFmtId="0" fontId="0" fillId="6" borderId="30" xfId="0" applyFont="1" applyFill="1" applyBorder="1" applyAlignment="1"/>
    <xf numFmtId="0" fontId="0" fillId="6" borderId="29" xfId="0" applyFont="1" applyFill="1" applyBorder="1" applyAlignment="1"/>
    <xf numFmtId="43" fontId="35" fillId="6" borderId="29" xfId="22" applyFont="1" applyFill="1" applyBorder="1" applyAlignment="1">
      <alignment horizontal="right"/>
    </xf>
    <xf numFmtId="43" fontId="20" fillId="3" borderId="15" xfId="22" applyFont="1" applyFill="1" applyBorder="1" applyAlignment="1">
      <alignment horizontal="center" vertical="center"/>
    </xf>
    <xf numFmtId="43" fontId="0" fillId="0" borderId="15" xfId="22" applyFont="1" applyFill="1" applyBorder="1" applyAlignment="1"/>
    <xf numFmtId="43" fontId="19" fillId="0" borderId="15" xfId="22" applyFont="1" applyFill="1" applyBorder="1" applyAlignment="1"/>
    <xf numFmtId="43" fontId="19" fillId="0" borderId="15" xfId="22" applyFont="1" applyFill="1" applyBorder="1" applyAlignment="1">
      <alignment horizontal="right" vertical="center"/>
    </xf>
    <xf numFmtId="43" fontId="20" fillId="0" borderId="15" xfId="22" applyFont="1" applyFill="1" applyBorder="1" applyAlignment="1">
      <alignment horizontal="right" vertical="center"/>
    </xf>
    <xf numFmtId="43" fontId="0" fillId="0" borderId="15" xfId="22" applyFont="1" applyFill="1" applyBorder="1" applyAlignment="1">
      <alignment horizontal="right" vertical="center"/>
    </xf>
    <xf numFmtId="43" fontId="25" fillId="0" borderId="15" xfId="22" applyFont="1" applyFill="1" applyBorder="1" applyAlignment="1">
      <alignment horizontal="right" vertical="center"/>
    </xf>
    <xf numFmtId="43" fontId="0" fillId="0" borderId="15" xfId="22" applyFont="1" applyFill="1" applyBorder="1" applyAlignment="1">
      <alignment vertical="center"/>
    </xf>
    <xf numFmtId="43" fontId="0" fillId="0" borderId="0" xfId="22" applyFont="1"/>
    <xf numFmtId="3" fontId="20" fillId="6" borderId="15" xfId="12" applyNumberFormat="1" applyFont="1" applyFill="1" applyBorder="1" applyAlignment="1">
      <alignment horizontal="center" vertical="center" wrapText="1"/>
    </xf>
    <xf numFmtId="165" fontId="20" fillId="6" borderId="15" xfId="12" applyNumberFormat="1" applyFont="1" applyFill="1" applyBorder="1" applyAlignment="1">
      <alignment horizontal="center" vertical="center" wrapText="1"/>
    </xf>
    <xf numFmtId="44" fontId="20" fillId="6" borderId="15" xfId="17" applyFont="1" applyFill="1" applyBorder="1" applyAlignment="1">
      <alignment horizontal="center" vertical="center" wrapText="1"/>
    </xf>
    <xf numFmtId="0" fontId="24" fillId="0" borderId="15" xfId="0" applyFont="1" applyFill="1" applyBorder="1" applyAlignment="1">
      <alignment wrapText="1"/>
    </xf>
    <xf numFmtId="0" fontId="19" fillId="0" borderId="0" xfId="11" quotePrefix="1" applyFont="1" applyFill="1" applyBorder="1" applyAlignment="1">
      <alignment horizontal="right" vertical="center"/>
    </xf>
    <xf numFmtId="43" fontId="0" fillId="0" borderId="16" xfId="13" applyFont="1" applyFill="1" applyBorder="1"/>
    <xf numFmtId="0" fontId="0" fillId="0" borderId="17" xfId="11" applyFont="1" applyFill="1" applyBorder="1" applyAlignment="1">
      <alignment horizontal="right" vertical="center"/>
    </xf>
    <xf numFmtId="0" fontId="19" fillId="0" borderId="19" xfId="11" applyFont="1" applyFill="1" applyBorder="1" applyAlignment="1">
      <alignment horizontal="right" vertical="center"/>
    </xf>
    <xf numFmtId="0" fontId="20" fillId="0" borderId="17" xfId="11" applyFont="1" applyFill="1" applyBorder="1" applyAlignment="1">
      <alignment horizontal="right" vertical="center"/>
    </xf>
    <xf numFmtId="0" fontId="20" fillId="0" borderId="18" xfId="11" applyFont="1" applyFill="1" applyBorder="1" applyAlignment="1">
      <alignment horizontal="center"/>
    </xf>
    <xf numFmtId="14" fontId="19" fillId="0" borderId="17" xfId="11" applyNumberFormat="1" applyFont="1" applyFill="1" applyBorder="1" applyAlignment="1">
      <alignment horizontal="right" vertical="center"/>
    </xf>
    <xf numFmtId="0" fontId="24" fillId="6" borderId="20" xfId="11" applyFont="1" applyFill="1" applyBorder="1" applyAlignment="1">
      <alignment horizontal="right" vertical="center"/>
    </xf>
    <xf numFmtId="4" fontId="25" fillId="6" borderId="15" xfId="11" applyNumberFormat="1" applyFont="1" applyFill="1" applyBorder="1" applyAlignment="1">
      <alignment horizontal="left" wrapText="1"/>
    </xf>
    <xf numFmtId="4" fontId="19" fillId="6" borderId="15" xfId="11" applyNumberFormat="1" applyFont="1" applyFill="1" applyBorder="1" applyAlignment="1">
      <alignment horizontal="center"/>
    </xf>
    <xf numFmtId="165" fontId="19" fillId="6" borderId="15" xfId="11" applyNumberFormat="1" applyFont="1" applyFill="1" applyBorder="1" applyAlignment="1">
      <alignment horizontal="center"/>
    </xf>
    <xf numFmtId="0" fontId="19" fillId="6" borderId="15" xfId="5" applyFont="1" applyFill="1" applyBorder="1" applyAlignment="1">
      <alignment horizontal="right" vertical="center"/>
    </xf>
    <xf numFmtId="4" fontId="26" fillId="6" borderId="15" xfId="11" applyNumberFormat="1" applyFont="1" applyFill="1" applyBorder="1" applyAlignment="1">
      <alignment horizontal="left" wrapText="1"/>
    </xf>
    <xf numFmtId="4" fontId="20" fillId="6" borderId="15" xfId="11" applyNumberFormat="1" applyFont="1" applyFill="1" applyBorder="1" applyAlignment="1">
      <alignment horizontal="left" vertical="center" wrapText="1"/>
    </xf>
    <xf numFmtId="3" fontId="19" fillId="6" borderId="15" xfId="11" applyNumberFormat="1" applyFont="1" applyFill="1" applyBorder="1" applyAlignment="1">
      <alignment horizontal="center"/>
    </xf>
    <xf numFmtId="3" fontId="19" fillId="6" borderId="15" xfId="11" applyNumberFormat="1" applyFont="1" applyFill="1" applyBorder="1" applyAlignment="1">
      <alignment horizontal="left" wrapText="1"/>
    </xf>
    <xf numFmtId="3" fontId="25" fillId="6" borderId="15" xfId="11" applyNumberFormat="1" applyFont="1" applyFill="1" applyBorder="1" applyAlignment="1">
      <alignment horizontal="left" wrapText="1"/>
    </xf>
    <xf numFmtId="0" fontId="22" fillId="6" borderId="0" xfId="11" applyFont="1" applyFill="1" applyAlignment="1">
      <alignment vertical="center" wrapText="1"/>
    </xf>
    <xf numFmtId="4" fontId="19" fillId="6" borderId="15" xfId="11" applyNumberFormat="1" applyFont="1" applyFill="1" applyBorder="1" applyAlignment="1">
      <alignment horizontal="left" wrapText="1"/>
    </xf>
    <xf numFmtId="0" fontId="19" fillId="6" borderId="29" xfId="5" applyFont="1" applyFill="1" applyBorder="1" applyAlignment="1">
      <alignment horizontal="right" vertical="center"/>
    </xf>
    <xf numFmtId="4" fontId="19" fillId="6" borderId="29" xfId="11" applyNumberFormat="1" applyFont="1" applyFill="1" applyBorder="1" applyAlignment="1">
      <alignment horizontal="left" wrapText="1"/>
    </xf>
    <xf numFmtId="3" fontId="19" fillId="6" borderId="29" xfId="11" applyNumberFormat="1" applyFont="1" applyFill="1" applyBorder="1" applyAlignment="1">
      <alignment horizontal="center"/>
    </xf>
    <xf numFmtId="165" fontId="19" fillId="6" borderId="29" xfId="11" applyNumberFormat="1" applyFont="1" applyFill="1" applyBorder="1" applyAlignment="1">
      <alignment horizontal="center"/>
    </xf>
    <xf numFmtId="4" fontId="19" fillId="6" borderId="29" xfId="11" applyNumberFormat="1" applyFont="1" applyFill="1" applyBorder="1" applyAlignment="1">
      <alignment horizontal="center"/>
    </xf>
    <xf numFmtId="4" fontId="20" fillId="6" borderId="29" xfId="11" applyNumberFormat="1" applyFont="1" applyFill="1" applyBorder="1" applyAlignment="1">
      <alignment horizontal="left" wrapText="1"/>
    </xf>
    <xf numFmtId="0" fontId="25" fillId="6" borderId="15" xfId="11" applyFont="1" applyFill="1" applyBorder="1" applyAlignment="1">
      <alignment horizontal="left" wrapText="1"/>
    </xf>
    <xf numFmtId="0" fontId="19" fillId="6" borderId="15" xfId="11" applyFont="1" applyFill="1" applyBorder="1" applyAlignment="1">
      <alignment horizontal="center"/>
    </xf>
    <xf numFmtId="0" fontId="19" fillId="6" borderId="15" xfId="11" applyFont="1" applyFill="1" applyBorder="1" applyAlignment="1">
      <alignment horizontal="left" wrapText="1"/>
    </xf>
    <xf numFmtId="0" fontId="19" fillId="6" borderId="29" xfId="11" applyFont="1" applyFill="1" applyBorder="1" applyAlignment="1">
      <alignment horizontal="right" vertical="center"/>
    </xf>
    <xf numFmtId="0" fontId="19" fillId="6" borderId="29" xfId="11" applyFont="1" applyFill="1" applyBorder="1" applyAlignment="1">
      <alignment horizontal="left" wrapText="1"/>
    </xf>
    <xf numFmtId="0" fontId="19" fillId="6" borderId="29" xfId="11" applyFont="1" applyFill="1" applyBorder="1" applyAlignment="1">
      <alignment horizontal="center"/>
    </xf>
    <xf numFmtId="0" fontId="20" fillId="6" borderId="15" xfId="11" applyFont="1" applyFill="1" applyBorder="1" applyAlignment="1">
      <alignment horizontal="left" wrapText="1"/>
    </xf>
    <xf numFmtId="0" fontId="20" fillId="6" borderId="15" xfId="11" applyFont="1" applyFill="1" applyBorder="1" applyAlignment="1">
      <alignment horizontal="center"/>
    </xf>
    <xf numFmtId="165" fontId="20" fillId="6" borderId="15" xfId="11" applyNumberFormat="1" applyFont="1" applyFill="1" applyBorder="1" applyAlignment="1">
      <alignment horizontal="center"/>
    </xf>
    <xf numFmtId="4" fontId="20" fillId="6" borderId="15" xfId="11" applyNumberFormat="1" applyFont="1" applyFill="1" applyBorder="1" applyAlignment="1">
      <alignment horizontal="center"/>
    </xf>
    <xf numFmtId="3" fontId="19" fillId="6" borderId="29" xfId="11" applyNumberFormat="1" applyFont="1" applyFill="1" applyBorder="1" applyAlignment="1">
      <alignment horizontal="left" wrapText="1"/>
    </xf>
    <xf numFmtId="0" fontId="20" fillId="6" borderId="22" xfId="11" applyFont="1" applyFill="1" applyBorder="1" applyAlignment="1">
      <alignment horizontal="right" vertical="center"/>
    </xf>
    <xf numFmtId="0" fontId="20" fillId="6" borderId="22" xfId="11" applyFont="1" applyFill="1" applyBorder="1" applyAlignment="1">
      <alignment horizontal="left" wrapText="1"/>
    </xf>
    <xf numFmtId="0" fontId="20" fillId="6" borderId="22" xfId="11" applyFont="1" applyFill="1" applyBorder="1" applyAlignment="1">
      <alignment horizontal="center"/>
    </xf>
    <xf numFmtId="165" fontId="20" fillId="6" borderId="22" xfId="11" applyNumberFormat="1" applyFont="1" applyFill="1" applyBorder="1" applyAlignment="1">
      <alignment horizontal="center"/>
    </xf>
    <xf numFmtId="4" fontId="20" fillId="6" borderId="22" xfId="11" applyNumberFormat="1" applyFont="1" applyFill="1" applyBorder="1" applyAlignment="1">
      <alignment horizontal="center"/>
    </xf>
    <xf numFmtId="0" fontId="19" fillId="6" borderId="29" xfId="11" applyFont="1" applyFill="1" applyBorder="1"/>
    <xf numFmtId="43" fontId="20" fillId="6" borderId="29" xfId="13" applyFont="1" applyFill="1" applyBorder="1" applyAlignment="1">
      <alignment horizontal="center" vertical="center" wrapText="1"/>
    </xf>
    <xf numFmtId="43" fontId="19" fillId="6" borderId="28" xfId="13" applyFont="1" applyFill="1" applyBorder="1"/>
    <xf numFmtId="4" fontId="19" fillId="6" borderId="29" xfId="11" applyNumberFormat="1" applyFont="1" applyFill="1" applyBorder="1"/>
    <xf numFmtId="0" fontId="21" fillId="6" borderId="29" xfId="0" applyFont="1" applyFill="1" applyBorder="1" applyAlignment="1">
      <alignment horizontal="right" vertical="center"/>
    </xf>
    <xf numFmtId="0" fontId="8" fillId="6" borderId="29" xfId="0" applyFont="1" applyFill="1" applyBorder="1" applyAlignment="1">
      <alignment vertical="center" wrapText="1"/>
    </xf>
    <xf numFmtId="0" fontId="8" fillId="6" borderId="29" xfId="0" applyFont="1" applyFill="1" applyBorder="1" applyAlignment="1">
      <alignment horizontal="center" vertical="center"/>
    </xf>
    <xf numFmtId="3" fontId="8" fillId="6" borderId="29" xfId="0" applyNumberFormat="1" applyFont="1" applyFill="1" applyBorder="1" applyAlignment="1">
      <alignment horizontal="center"/>
    </xf>
    <xf numFmtId="0" fontId="8" fillId="6" borderId="29" xfId="0" applyFont="1" applyFill="1" applyBorder="1" applyAlignment="1">
      <alignment horizontal="center"/>
    </xf>
    <xf numFmtId="43" fontId="8" fillId="6" borderId="29" xfId="48" applyFont="1" applyFill="1" applyBorder="1" applyAlignment="1"/>
    <xf numFmtId="0" fontId="24" fillId="6" borderId="29" xfId="0" applyFont="1" applyFill="1" applyBorder="1" applyAlignment="1">
      <alignment horizontal="right" vertical="center" wrapText="1"/>
    </xf>
    <xf numFmtId="0" fontId="24" fillId="6" borderId="29" xfId="0" applyFont="1" applyFill="1" applyBorder="1" applyAlignment="1">
      <alignment wrapText="1"/>
    </xf>
    <xf numFmtId="0" fontId="24" fillId="6" borderId="29" xfId="0" applyFont="1" applyFill="1" applyBorder="1" applyAlignment="1">
      <alignment horizontal="center" wrapText="1"/>
    </xf>
    <xf numFmtId="43" fontId="24" fillId="6" borderId="29" xfId="48" applyFont="1" applyFill="1" applyBorder="1" applyAlignment="1">
      <alignment wrapText="1"/>
    </xf>
    <xf numFmtId="0" fontId="19" fillId="6" borderId="29" xfId="0" applyFont="1" applyFill="1" applyBorder="1" applyAlignment="1">
      <alignment horizontal="right" vertical="center" wrapText="1"/>
    </xf>
    <xf numFmtId="171" fontId="19" fillId="6" borderId="29" xfId="0" applyNumberFormat="1" applyFont="1" applyFill="1" applyBorder="1" applyAlignment="1">
      <alignment wrapText="1"/>
    </xf>
    <xf numFmtId="0" fontId="19" fillId="6" borderId="29" xfId="0" applyFont="1" applyFill="1" applyBorder="1"/>
    <xf numFmtId="44" fontId="19" fillId="6" borderId="29" xfId="17" applyFont="1" applyFill="1" applyBorder="1"/>
    <xf numFmtId="0" fontId="0" fillId="0" borderId="29" xfId="0" applyFont="1" applyFill="1" applyBorder="1"/>
    <xf numFmtId="170" fontId="19" fillId="6" borderId="29" xfId="0" applyNumberFormat="1" applyFont="1" applyFill="1" applyBorder="1" applyAlignment="1">
      <alignment wrapText="1"/>
    </xf>
  </cellXfs>
  <cellStyles count="94">
    <cellStyle name="2decimal" xfId="32"/>
    <cellStyle name="Accent6 2" xfId="33"/>
    <cellStyle name="Bad 2" xfId="34"/>
    <cellStyle name="Comma" xfId="22" builtinId="3"/>
    <cellStyle name="Comma  - Style1" xfId="35"/>
    <cellStyle name="Comma  - Style2" xfId="36"/>
    <cellStyle name="Comma  - Style3" xfId="37"/>
    <cellStyle name="Comma  - Style4" xfId="38"/>
    <cellStyle name="Comma  - Style5" xfId="39"/>
    <cellStyle name="Comma  - Style6" xfId="40"/>
    <cellStyle name="Comma  - Style7" xfId="41"/>
    <cellStyle name="Comma  - Style8" xfId="42"/>
    <cellStyle name="Comma 10" xfId="43"/>
    <cellStyle name="Comma 10 2" xfId="44"/>
    <cellStyle name="Comma 10 3" xfId="45"/>
    <cellStyle name="Comma 10 4" xfId="46"/>
    <cellStyle name="Comma 10 4 2" xfId="47"/>
    <cellStyle name="Comma 11" xfId="48"/>
    <cellStyle name="Comma 12" xfId="49"/>
    <cellStyle name="Comma 13" xfId="88"/>
    <cellStyle name="Comma 14" xfId="84"/>
    <cellStyle name="Comma 15" xfId="87"/>
    <cellStyle name="Comma 16" xfId="85"/>
    <cellStyle name="Comma 17" xfId="86"/>
    <cellStyle name="Comma 2" xfId="1"/>
    <cellStyle name="Comma 2 2" xfId="2"/>
    <cellStyle name="Comma 2 2 2" xfId="16"/>
    <cellStyle name="Comma 2 2 3" xfId="51"/>
    <cellStyle name="Comma 2 3" xfId="15"/>
    <cellStyle name="Comma 2 4" xfId="12"/>
    <cellStyle name="Comma 2 4 2" xfId="80"/>
    <cellStyle name="Comma 2 5" xfId="13"/>
    <cellStyle name="Comma 2 6" xfId="50"/>
    <cellStyle name="Comma 3" xfId="14"/>
    <cellStyle name="Comma 3 2" xfId="53"/>
    <cellStyle name="Comma 3 3" xfId="52"/>
    <cellStyle name="Comma 4" xfId="54"/>
    <cellStyle name="Comma 4 2" xfId="55"/>
    <cellStyle name="Comma 5" xfId="4"/>
    <cellStyle name="Comma 5 2" xfId="56"/>
    <cellStyle name="Comma 6" xfId="57"/>
    <cellStyle name="Comma 7" xfId="20"/>
    <cellStyle name="Comma 8" xfId="30"/>
    <cellStyle name="Comma 9" xfId="83"/>
    <cellStyle name="Comma_Sheet1" xfId="25"/>
    <cellStyle name="Currency" xfId="29" builtinId="4"/>
    <cellStyle name="Currency [0]b" xfId="58"/>
    <cellStyle name="Currency 2" xfId="17"/>
    <cellStyle name="Currency 2 2" xfId="59"/>
    <cellStyle name="currency(2)" xfId="60"/>
    <cellStyle name="Euro" xfId="61"/>
    <cellStyle name="Excel Built-in Normal" xfId="23"/>
    <cellStyle name="Legal 8½ x 14 in" xfId="21"/>
    <cellStyle name="Neutral 2" xfId="62"/>
    <cellStyle name="Normal" xfId="0" builtinId="0"/>
    <cellStyle name="Normal - Style1" xfId="63"/>
    <cellStyle name="Normal 10" xfId="11"/>
    <cellStyle name="Normal 11" xfId="64"/>
    <cellStyle name="Normal 12" xfId="65"/>
    <cellStyle name="Normal 13" xfId="82"/>
    <cellStyle name="Normal 14" xfId="5"/>
    <cellStyle name="Normal 15" xfId="89"/>
    <cellStyle name="Normal 16" xfId="90"/>
    <cellStyle name="Normal 17" xfId="91"/>
    <cellStyle name="Normal 18" xfId="92"/>
    <cellStyle name="Normal 19" xfId="93"/>
    <cellStyle name="Normal 2" xfId="7"/>
    <cellStyle name="Normal 2 2" xfId="8"/>
    <cellStyle name="Normal 2 2 2" xfId="10"/>
    <cellStyle name="Normal 2 2 3" xfId="67"/>
    <cellStyle name="Normal 2 2 4" xfId="66"/>
    <cellStyle name="Normal 2 3" xfId="68"/>
    <cellStyle name="Normal 2 4" xfId="69"/>
    <cellStyle name="Normal 2 5" xfId="70"/>
    <cellStyle name="Normal 2 6" xfId="28"/>
    <cellStyle name="Normal 3" xfId="9"/>
    <cellStyle name="Normal 3 2" xfId="71"/>
    <cellStyle name="Normal 4" xfId="72"/>
    <cellStyle name="Normal 4 2" xfId="73"/>
    <cellStyle name="Normal 5" xfId="74"/>
    <cellStyle name="Normal 6" xfId="75"/>
    <cellStyle name="Normal 6 5" xfId="19"/>
    <cellStyle name="Normal 7" xfId="76"/>
    <cellStyle name="Normal 8" xfId="77"/>
    <cellStyle name="Normal 9" xfId="31"/>
    <cellStyle name="Normal 9 2" xfId="81"/>
    <cellStyle name="Normal_Little Berry CenterTown Houses BQ  155-05 exterrnal works" xfId="6"/>
    <cellStyle name="Normal_Sheet1" xfId="24"/>
    <cellStyle name="Percent" xfId="3" builtinId="5"/>
    <cellStyle name="Percent 2" xfId="78"/>
    <cellStyle name="Percent 3" xfId="79"/>
    <cellStyle name="tahoma 10 2" xfId="18"/>
    <cellStyle name="tahoma 15 2 2" xfId="26"/>
    <cellStyle name="tahoma 2 2" xfId="27"/>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M119"/>
  <sheetViews>
    <sheetView view="pageBreakPreview" zoomScaleNormal="100" zoomScaleSheetLayoutView="100" workbookViewId="0">
      <selection activeCell="D1" sqref="D1:I1048576"/>
    </sheetView>
  </sheetViews>
  <sheetFormatPr defaultColWidth="3.54296875" defaultRowHeight="14"/>
  <cols>
    <col min="1" max="1" width="5.90625" style="7" bestFit="1" customWidth="1"/>
    <col min="2" max="2" width="85.6328125" style="117" customWidth="1"/>
    <col min="3" max="3" width="13.453125" style="2" bestFit="1" customWidth="1"/>
    <col min="4" max="5" width="9.08984375" style="2" customWidth="1"/>
    <col min="6" max="6" width="11.6328125" style="2" bestFit="1" customWidth="1"/>
    <col min="7" max="244" width="9.08984375" style="2" customWidth="1"/>
    <col min="245" max="246" width="1.36328125" style="2" customWidth="1"/>
    <col min="247" max="247" width="3.54296875" style="2"/>
    <col min="248" max="248" width="11.90625" style="2" customWidth="1"/>
    <col min="249" max="249" width="12.453125" style="2" customWidth="1"/>
    <col min="250" max="250" width="9" style="2" customWidth="1"/>
    <col min="251" max="251" width="7.453125" style="2" customWidth="1"/>
    <col min="252" max="253" width="7.54296875" style="2" customWidth="1"/>
    <col min="254" max="254" width="15" style="2" customWidth="1"/>
    <col min="255" max="255" width="9.6328125" style="2" customWidth="1"/>
    <col min="256" max="256" width="14.54296875" style="2" customWidth="1"/>
    <col min="257" max="257" width="14.453125" style="2" customWidth="1"/>
    <col min="258" max="258" width="19.90625" style="2" customWidth="1"/>
    <col min="259" max="500" width="9.08984375" style="2" customWidth="1"/>
    <col min="501" max="502" width="1.36328125" style="2" customWidth="1"/>
    <col min="503" max="503" width="3.54296875" style="2"/>
    <col min="504" max="504" width="11.90625" style="2" customWidth="1"/>
    <col min="505" max="505" width="12.453125" style="2" customWidth="1"/>
    <col min="506" max="506" width="9" style="2" customWidth="1"/>
    <col min="507" max="507" width="7.453125" style="2" customWidth="1"/>
    <col min="508" max="509" width="7.54296875" style="2" customWidth="1"/>
    <col min="510" max="510" width="15" style="2" customWidth="1"/>
    <col min="511" max="511" width="9.6328125" style="2" customWidth="1"/>
    <col min="512" max="512" width="14.54296875" style="2" customWidth="1"/>
    <col min="513" max="513" width="14.453125" style="2" customWidth="1"/>
    <col min="514" max="514" width="19.90625" style="2" customWidth="1"/>
    <col min="515" max="756" width="9.08984375" style="2" customWidth="1"/>
    <col min="757" max="758" width="1.36328125" style="2" customWidth="1"/>
    <col min="759" max="759" width="3.54296875" style="2"/>
    <col min="760" max="760" width="11.90625" style="2" customWidth="1"/>
    <col min="761" max="761" width="12.453125" style="2" customWidth="1"/>
    <col min="762" max="762" width="9" style="2" customWidth="1"/>
    <col min="763" max="763" width="7.453125" style="2" customWidth="1"/>
    <col min="764" max="765" width="7.54296875" style="2" customWidth="1"/>
    <col min="766" max="766" width="15" style="2" customWidth="1"/>
    <col min="767" max="767" width="9.6328125" style="2" customWidth="1"/>
    <col min="768" max="768" width="14.54296875" style="2" customWidth="1"/>
    <col min="769" max="769" width="14.453125" style="2" customWidth="1"/>
    <col min="770" max="770" width="19.90625" style="2" customWidth="1"/>
    <col min="771" max="1012" width="9.08984375" style="2" customWidth="1"/>
    <col min="1013" max="1014" width="1.36328125" style="2" customWidth="1"/>
    <col min="1015" max="1015" width="3.54296875" style="2"/>
    <col min="1016" max="1016" width="11.90625" style="2" customWidth="1"/>
    <col min="1017" max="1017" width="12.453125" style="2" customWidth="1"/>
    <col min="1018" max="1018" width="9" style="2" customWidth="1"/>
    <col min="1019" max="1019" width="7.453125" style="2" customWidth="1"/>
    <col min="1020" max="1021" width="7.54296875" style="2" customWidth="1"/>
    <col min="1022" max="1022" width="15" style="2" customWidth="1"/>
    <col min="1023" max="1023" width="9.6328125" style="2" customWidth="1"/>
    <col min="1024" max="1024" width="14.54296875" style="2" customWidth="1"/>
    <col min="1025" max="1025" width="14.453125" style="2" customWidth="1"/>
    <col min="1026" max="1026" width="19.90625" style="2" customWidth="1"/>
    <col min="1027" max="1268" width="9.08984375" style="2" customWidth="1"/>
    <col min="1269" max="1270" width="1.36328125" style="2" customWidth="1"/>
    <col min="1271" max="1271" width="3.54296875" style="2"/>
    <col min="1272" max="1272" width="11.90625" style="2" customWidth="1"/>
    <col min="1273" max="1273" width="12.453125" style="2" customWidth="1"/>
    <col min="1274" max="1274" width="9" style="2" customWidth="1"/>
    <col min="1275" max="1275" width="7.453125" style="2" customWidth="1"/>
    <col min="1276" max="1277" width="7.54296875" style="2" customWidth="1"/>
    <col min="1278" max="1278" width="15" style="2" customWidth="1"/>
    <col min="1279" max="1279" width="9.6328125" style="2" customWidth="1"/>
    <col min="1280" max="1280" width="14.54296875" style="2" customWidth="1"/>
    <col min="1281" max="1281" width="14.453125" style="2" customWidth="1"/>
    <col min="1282" max="1282" width="19.90625" style="2" customWidth="1"/>
    <col min="1283" max="1524" width="9.08984375" style="2" customWidth="1"/>
    <col min="1525" max="1526" width="1.36328125" style="2" customWidth="1"/>
    <col min="1527" max="1527" width="3.54296875" style="2"/>
    <col min="1528" max="1528" width="11.90625" style="2" customWidth="1"/>
    <col min="1529" max="1529" width="12.453125" style="2" customWidth="1"/>
    <col min="1530" max="1530" width="9" style="2" customWidth="1"/>
    <col min="1531" max="1531" width="7.453125" style="2" customWidth="1"/>
    <col min="1532" max="1533" width="7.54296875" style="2" customWidth="1"/>
    <col min="1534" max="1534" width="15" style="2" customWidth="1"/>
    <col min="1535" max="1535" width="9.6328125" style="2" customWidth="1"/>
    <col min="1536" max="1536" width="14.54296875" style="2" customWidth="1"/>
    <col min="1537" max="1537" width="14.453125" style="2" customWidth="1"/>
    <col min="1538" max="1538" width="19.90625" style="2" customWidth="1"/>
    <col min="1539" max="1780" width="9.08984375" style="2" customWidth="1"/>
    <col min="1781" max="1782" width="1.36328125" style="2" customWidth="1"/>
    <col min="1783" max="1783" width="3.54296875" style="2"/>
    <col min="1784" max="1784" width="11.90625" style="2" customWidth="1"/>
    <col min="1785" max="1785" width="12.453125" style="2" customWidth="1"/>
    <col min="1786" max="1786" width="9" style="2" customWidth="1"/>
    <col min="1787" max="1787" width="7.453125" style="2" customWidth="1"/>
    <col min="1788" max="1789" width="7.54296875" style="2" customWidth="1"/>
    <col min="1790" max="1790" width="15" style="2" customWidth="1"/>
    <col min="1791" max="1791" width="9.6328125" style="2" customWidth="1"/>
    <col min="1792" max="1792" width="14.54296875" style="2" customWidth="1"/>
    <col min="1793" max="1793" width="14.453125" style="2" customWidth="1"/>
    <col min="1794" max="1794" width="19.90625" style="2" customWidth="1"/>
    <col min="1795" max="2036" width="9.08984375" style="2" customWidth="1"/>
    <col min="2037" max="2038" width="1.36328125" style="2" customWidth="1"/>
    <col min="2039" max="2039" width="3.54296875" style="2"/>
    <col min="2040" max="2040" width="11.90625" style="2" customWidth="1"/>
    <col min="2041" max="2041" width="12.453125" style="2" customWidth="1"/>
    <col min="2042" max="2042" width="9" style="2" customWidth="1"/>
    <col min="2043" max="2043" width="7.453125" style="2" customWidth="1"/>
    <col min="2044" max="2045" width="7.54296875" style="2" customWidth="1"/>
    <col min="2046" max="2046" width="15" style="2" customWidth="1"/>
    <col min="2047" max="2047" width="9.6328125" style="2" customWidth="1"/>
    <col min="2048" max="2048" width="14.54296875" style="2" customWidth="1"/>
    <col min="2049" max="2049" width="14.453125" style="2" customWidth="1"/>
    <col min="2050" max="2050" width="19.90625" style="2" customWidth="1"/>
    <col min="2051" max="2292" width="9.08984375" style="2" customWidth="1"/>
    <col min="2293" max="2294" width="1.36328125" style="2" customWidth="1"/>
    <col min="2295" max="2295" width="3.54296875" style="2"/>
    <col min="2296" max="2296" width="11.90625" style="2" customWidth="1"/>
    <col min="2297" max="2297" width="12.453125" style="2" customWidth="1"/>
    <col min="2298" max="2298" width="9" style="2" customWidth="1"/>
    <col min="2299" max="2299" width="7.453125" style="2" customWidth="1"/>
    <col min="2300" max="2301" width="7.54296875" style="2" customWidth="1"/>
    <col min="2302" max="2302" width="15" style="2" customWidth="1"/>
    <col min="2303" max="2303" width="9.6328125" style="2" customWidth="1"/>
    <col min="2304" max="2304" width="14.54296875" style="2" customWidth="1"/>
    <col min="2305" max="2305" width="14.453125" style="2" customWidth="1"/>
    <col min="2306" max="2306" width="19.90625" style="2" customWidth="1"/>
    <col min="2307" max="2548" width="9.08984375" style="2" customWidth="1"/>
    <col min="2549" max="2550" width="1.36328125" style="2" customWidth="1"/>
    <col min="2551" max="2551" width="3.54296875" style="2"/>
    <col min="2552" max="2552" width="11.90625" style="2" customWidth="1"/>
    <col min="2553" max="2553" width="12.453125" style="2" customWidth="1"/>
    <col min="2554" max="2554" width="9" style="2" customWidth="1"/>
    <col min="2555" max="2555" width="7.453125" style="2" customWidth="1"/>
    <col min="2556" max="2557" width="7.54296875" style="2" customWidth="1"/>
    <col min="2558" max="2558" width="15" style="2" customWidth="1"/>
    <col min="2559" max="2559" width="9.6328125" style="2" customWidth="1"/>
    <col min="2560" max="2560" width="14.54296875" style="2" customWidth="1"/>
    <col min="2561" max="2561" width="14.453125" style="2" customWidth="1"/>
    <col min="2562" max="2562" width="19.90625" style="2" customWidth="1"/>
    <col min="2563" max="2804" width="9.08984375" style="2" customWidth="1"/>
    <col min="2805" max="2806" width="1.36328125" style="2" customWidth="1"/>
    <col min="2807" max="2807" width="3.54296875" style="2"/>
    <col min="2808" max="2808" width="11.90625" style="2" customWidth="1"/>
    <col min="2809" max="2809" width="12.453125" style="2" customWidth="1"/>
    <col min="2810" max="2810" width="9" style="2" customWidth="1"/>
    <col min="2811" max="2811" width="7.453125" style="2" customWidth="1"/>
    <col min="2812" max="2813" width="7.54296875" style="2" customWidth="1"/>
    <col min="2814" max="2814" width="15" style="2" customWidth="1"/>
    <col min="2815" max="2815" width="9.6328125" style="2" customWidth="1"/>
    <col min="2816" max="2816" width="14.54296875" style="2" customWidth="1"/>
    <col min="2817" max="2817" width="14.453125" style="2" customWidth="1"/>
    <col min="2818" max="2818" width="19.90625" style="2" customWidth="1"/>
    <col min="2819" max="3060" width="9.08984375" style="2" customWidth="1"/>
    <col min="3061" max="3062" width="1.36328125" style="2" customWidth="1"/>
    <col min="3063" max="3063" width="3.54296875" style="2"/>
    <col min="3064" max="3064" width="11.90625" style="2" customWidth="1"/>
    <col min="3065" max="3065" width="12.453125" style="2" customWidth="1"/>
    <col min="3066" max="3066" width="9" style="2" customWidth="1"/>
    <col min="3067" max="3067" width="7.453125" style="2" customWidth="1"/>
    <col min="3068" max="3069" width="7.54296875" style="2" customWidth="1"/>
    <col min="3070" max="3070" width="15" style="2" customWidth="1"/>
    <col min="3071" max="3071" width="9.6328125" style="2" customWidth="1"/>
    <col min="3072" max="3072" width="14.54296875" style="2" customWidth="1"/>
    <col min="3073" max="3073" width="14.453125" style="2" customWidth="1"/>
    <col min="3074" max="3074" width="19.90625" style="2" customWidth="1"/>
    <col min="3075" max="3316" width="9.08984375" style="2" customWidth="1"/>
    <col min="3317" max="3318" width="1.36328125" style="2" customWidth="1"/>
    <col min="3319" max="3319" width="3.54296875" style="2"/>
    <col min="3320" max="3320" width="11.90625" style="2" customWidth="1"/>
    <col min="3321" max="3321" width="12.453125" style="2" customWidth="1"/>
    <col min="3322" max="3322" width="9" style="2" customWidth="1"/>
    <col min="3323" max="3323" width="7.453125" style="2" customWidth="1"/>
    <col min="3324" max="3325" width="7.54296875" style="2" customWidth="1"/>
    <col min="3326" max="3326" width="15" style="2" customWidth="1"/>
    <col min="3327" max="3327" width="9.6328125" style="2" customWidth="1"/>
    <col min="3328" max="3328" width="14.54296875" style="2" customWidth="1"/>
    <col min="3329" max="3329" width="14.453125" style="2" customWidth="1"/>
    <col min="3330" max="3330" width="19.90625" style="2" customWidth="1"/>
    <col min="3331" max="3572" width="9.08984375" style="2" customWidth="1"/>
    <col min="3573" max="3574" width="1.36328125" style="2" customWidth="1"/>
    <col min="3575" max="3575" width="3.54296875" style="2"/>
    <col min="3576" max="3576" width="11.90625" style="2" customWidth="1"/>
    <col min="3577" max="3577" width="12.453125" style="2" customWidth="1"/>
    <col min="3578" max="3578" width="9" style="2" customWidth="1"/>
    <col min="3579" max="3579" width="7.453125" style="2" customWidth="1"/>
    <col min="3580" max="3581" width="7.54296875" style="2" customWidth="1"/>
    <col min="3582" max="3582" width="15" style="2" customWidth="1"/>
    <col min="3583" max="3583" width="9.6328125" style="2" customWidth="1"/>
    <col min="3584" max="3584" width="14.54296875" style="2" customWidth="1"/>
    <col min="3585" max="3585" width="14.453125" style="2" customWidth="1"/>
    <col min="3586" max="3586" width="19.90625" style="2" customWidth="1"/>
    <col min="3587" max="3828" width="9.08984375" style="2" customWidth="1"/>
    <col min="3829" max="3830" width="1.36328125" style="2" customWidth="1"/>
    <col min="3831" max="3831" width="3.54296875" style="2"/>
    <col min="3832" max="3832" width="11.90625" style="2" customWidth="1"/>
    <col min="3833" max="3833" width="12.453125" style="2" customWidth="1"/>
    <col min="3834" max="3834" width="9" style="2" customWidth="1"/>
    <col min="3835" max="3835" width="7.453125" style="2" customWidth="1"/>
    <col min="3836" max="3837" width="7.54296875" style="2" customWidth="1"/>
    <col min="3838" max="3838" width="15" style="2" customWidth="1"/>
    <col min="3839" max="3839" width="9.6328125" style="2" customWidth="1"/>
    <col min="3840" max="3840" width="14.54296875" style="2" customWidth="1"/>
    <col min="3841" max="3841" width="14.453125" style="2" customWidth="1"/>
    <col min="3842" max="3842" width="19.90625" style="2" customWidth="1"/>
    <col min="3843" max="4084" width="9.08984375" style="2" customWidth="1"/>
    <col min="4085" max="4086" width="1.36328125" style="2" customWidth="1"/>
    <col min="4087" max="4087" width="3.54296875" style="2"/>
    <col min="4088" max="4088" width="11.90625" style="2" customWidth="1"/>
    <col min="4089" max="4089" width="12.453125" style="2" customWidth="1"/>
    <col min="4090" max="4090" width="9" style="2" customWidth="1"/>
    <col min="4091" max="4091" width="7.453125" style="2" customWidth="1"/>
    <col min="4092" max="4093" width="7.54296875" style="2" customWidth="1"/>
    <col min="4094" max="4094" width="15" style="2" customWidth="1"/>
    <col min="4095" max="4095" width="9.6328125" style="2" customWidth="1"/>
    <col min="4096" max="4096" width="14.54296875" style="2" customWidth="1"/>
    <col min="4097" max="4097" width="14.453125" style="2" customWidth="1"/>
    <col min="4098" max="4098" width="19.90625" style="2" customWidth="1"/>
    <col min="4099" max="4340" width="9.08984375" style="2" customWidth="1"/>
    <col min="4341" max="4342" width="1.36328125" style="2" customWidth="1"/>
    <col min="4343" max="4343" width="3.54296875" style="2"/>
    <col min="4344" max="4344" width="11.90625" style="2" customWidth="1"/>
    <col min="4345" max="4345" width="12.453125" style="2" customWidth="1"/>
    <col min="4346" max="4346" width="9" style="2" customWidth="1"/>
    <col min="4347" max="4347" width="7.453125" style="2" customWidth="1"/>
    <col min="4348" max="4349" width="7.54296875" style="2" customWidth="1"/>
    <col min="4350" max="4350" width="15" style="2" customWidth="1"/>
    <col min="4351" max="4351" width="9.6328125" style="2" customWidth="1"/>
    <col min="4352" max="4352" width="14.54296875" style="2" customWidth="1"/>
    <col min="4353" max="4353" width="14.453125" style="2" customWidth="1"/>
    <col min="4354" max="4354" width="19.90625" style="2" customWidth="1"/>
    <col min="4355" max="4596" width="9.08984375" style="2" customWidth="1"/>
    <col min="4597" max="4598" width="1.36328125" style="2" customWidth="1"/>
    <col min="4599" max="4599" width="3.54296875" style="2"/>
    <col min="4600" max="4600" width="11.90625" style="2" customWidth="1"/>
    <col min="4601" max="4601" width="12.453125" style="2" customWidth="1"/>
    <col min="4602" max="4602" width="9" style="2" customWidth="1"/>
    <col min="4603" max="4603" width="7.453125" style="2" customWidth="1"/>
    <col min="4604" max="4605" width="7.54296875" style="2" customWidth="1"/>
    <col min="4606" max="4606" width="15" style="2" customWidth="1"/>
    <col min="4607" max="4607" width="9.6328125" style="2" customWidth="1"/>
    <col min="4608" max="4608" width="14.54296875" style="2" customWidth="1"/>
    <col min="4609" max="4609" width="14.453125" style="2" customWidth="1"/>
    <col min="4610" max="4610" width="19.90625" style="2" customWidth="1"/>
    <col min="4611" max="4852" width="9.08984375" style="2" customWidth="1"/>
    <col min="4853" max="4854" width="1.36328125" style="2" customWidth="1"/>
    <col min="4855" max="4855" width="3.54296875" style="2"/>
    <col min="4856" max="4856" width="11.90625" style="2" customWidth="1"/>
    <col min="4857" max="4857" width="12.453125" style="2" customWidth="1"/>
    <col min="4858" max="4858" width="9" style="2" customWidth="1"/>
    <col min="4859" max="4859" width="7.453125" style="2" customWidth="1"/>
    <col min="4860" max="4861" width="7.54296875" style="2" customWidth="1"/>
    <col min="4862" max="4862" width="15" style="2" customWidth="1"/>
    <col min="4863" max="4863" width="9.6328125" style="2" customWidth="1"/>
    <col min="4864" max="4864" width="14.54296875" style="2" customWidth="1"/>
    <col min="4865" max="4865" width="14.453125" style="2" customWidth="1"/>
    <col min="4866" max="4866" width="19.90625" style="2" customWidth="1"/>
    <col min="4867" max="5108" width="9.08984375" style="2" customWidth="1"/>
    <col min="5109" max="5110" width="1.36328125" style="2" customWidth="1"/>
    <col min="5111" max="5111" width="3.54296875" style="2"/>
    <col min="5112" max="5112" width="11.90625" style="2" customWidth="1"/>
    <col min="5113" max="5113" width="12.453125" style="2" customWidth="1"/>
    <col min="5114" max="5114" width="9" style="2" customWidth="1"/>
    <col min="5115" max="5115" width="7.453125" style="2" customWidth="1"/>
    <col min="5116" max="5117" width="7.54296875" style="2" customWidth="1"/>
    <col min="5118" max="5118" width="15" style="2" customWidth="1"/>
    <col min="5119" max="5119" width="9.6328125" style="2" customWidth="1"/>
    <col min="5120" max="5120" width="14.54296875" style="2" customWidth="1"/>
    <col min="5121" max="5121" width="14.453125" style="2" customWidth="1"/>
    <col min="5122" max="5122" width="19.90625" style="2" customWidth="1"/>
    <col min="5123" max="5364" width="9.08984375" style="2" customWidth="1"/>
    <col min="5365" max="5366" width="1.36328125" style="2" customWidth="1"/>
    <col min="5367" max="5367" width="3.54296875" style="2"/>
    <col min="5368" max="5368" width="11.90625" style="2" customWidth="1"/>
    <col min="5369" max="5369" width="12.453125" style="2" customWidth="1"/>
    <col min="5370" max="5370" width="9" style="2" customWidth="1"/>
    <col min="5371" max="5371" width="7.453125" style="2" customWidth="1"/>
    <col min="5372" max="5373" width="7.54296875" style="2" customWidth="1"/>
    <col min="5374" max="5374" width="15" style="2" customWidth="1"/>
    <col min="5375" max="5375" width="9.6328125" style="2" customWidth="1"/>
    <col min="5376" max="5376" width="14.54296875" style="2" customWidth="1"/>
    <col min="5377" max="5377" width="14.453125" style="2" customWidth="1"/>
    <col min="5378" max="5378" width="19.90625" style="2" customWidth="1"/>
    <col min="5379" max="5620" width="9.08984375" style="2" customWidth="1"/>
    <col min="5621" max="5622" width="1.36328125" style="2" customWidth="1"/>
    <col min="5623" max="5623" width="3.54296875" style="2"/>
    <col min="5624" max="5624" width="11.90625" style="2" customWidth="1"/>
    <col min="5625" max="5625" width="12.453125" style="2" customWidth="1"/>
    <col min="5626" max="5626" width="9" style="2" customWidth="1"/>
    <col min="5627" max="5627" width="7.453125" style="2" customWidth="1"/>
    <col min="5628" max="5629" width="7.54296875" style="2" customWidth="1"/>
    <col min="5630" max="5630" width="15" style="2" customWidth="1"/>
    <col min="5631" max="5631" width="9.6328125" style="2" customWidth="1"/>
    <col min="5632" max="5632" width="14.54296875" style="2" customWidth="1"/>
    <col min="5633" max="5633" width="14.453125" style="2" customWidth="1"/>
    <col min="5634" max="5634" width="19.90625" style="2" customWidth="1"/>
    <col min="5635" max="5876" width="9.08984375" style="2" customWidth="1"/>
    <col min="5877" max="5878" width="1.36328125" style="2" customWidth="1"/>
    <col min="5879" max="5879" width="3.54296875" style="2"/>
    <col min="5880" max="5880" width="11.90625" style="2" customWidth="1"/>
    <col min="5881" max="5881" width="12.453125" style="2" customWidth="1"/>
    <col min="5882" max="5882" width="9" style="2" customWidth="1"/>
    <col min="5883" max="5883" width="7.453125" style="2" customWidth="1"/>
    <col min="5884" max="5885" width="7.54296875" style="2" customWidth="1"/>
    <col min="5886" max="5886" width="15" style="2" customWidth="1"/>
    <col min="5887" max="5887" width="9.6328125" style="2" customWidth="1"/>
    <col min="5888" max="5888" width="14.54296875" style="2" customWidth="1"/>
    <col min="5889" max="5889" width="14.453125" style="2" customWidth="1"/>
    <col min="5890" max="5890" width="19.90625" style="2" customWidth="1"/>
    <col min="5891" max="6132" width="9.08984375" style="2" customWidth="1"/>
    <col min="6133" max="6134" width="1.36328125" style="2" customWidth="1"/>
    <col min="6135" max="6135" width="3.54296875" style="2"/>
    <col min="6136" max="6136" width="11.90625" style="2" customWidth="1"/>
    <col min="6137" max="6137" width="12.453125" style="2" customWidth="1"/>
    <col min="6138" max="6138" width="9" style="2" customWidth="1"/>
    <col min="6139" max="6139" width="7.453125" style="2" customWidth="1"/>
    <col min="6140" max="6141" width="7.54296875" style="2" customWidth="1"/>
    <col min="6142" max="6142" width="15" style="2" customWidth="1"/>
    <col min="6143" max="6143" width="9.6328125" style="2" customWidth="1"/>
    <col min="6144" max="6144" width="14.54296875" style="2" customWidth="1"/>
    <col min="6145" max="6145" width="14.453125" style="2" customWidth="1"/>
    <col min="6146" max="6146" width="19.90625" style="2" customWidth="1"/>
    <col min="6147" max="6388" width="9.08984375" style="2" customWidth="1"/>
    <col min="6389" max="6390" width="1.36328125" style="2" customWidth="1"/>
    <col min="6391" max="6391" width="3.54296875" style="2"/>
    <col min="6392" max="6392" width="11.90625" style="2" customWidth="1"/>
    <col min="6393" max="6393" width="12.453125" style="2" customWidth="1"/>
    <col min="6394" max="6394" width="9" style="2" customWidth="1"/>
    <col min="6395" max="6395" width="7.453125" style="2" customWidth="1"/>
    <col min="6396" max="6397" width="7.54296875" style="2" customWidth="1"/>
    <col min="6398" max="6398" width="15" style="2" customWidth="1"/>
    <col min="6399" max="6399" width="9.6328125" style="2" customWidth="1"/>
    <col min="6400" max="6400" width="14.54296875" style="2" customWidth="1"/>
    <col min="6401" max="6401" width="14.453125" style="2" customWidth="1"/>
    <col min="6402" max="6402" width="19.90625" style="2" customWidth="1"/>
    <col min="6403" max="6644" width="9.08984375" style="2" customWidth="1"/>
    <col min="6645" max="6646" width="1.36328125" style="2" customWidth="1"/>
    <col min="6647" max="6647" width="3.54296875" style="2"/>
    <col min="6648" max="6648" width="11.90625" style="2" customWidth="1"/>
    <col min="6649" max="6649" width="12.453125" style="2" customWidth="1"/>
    <col min="6650" max="6650" width="9" style="2" customWidth="1"/>
    <col min="6651" max="6651" width="7.453125" style="2" customWidth="1"/>
    <col min="6652" max="6653" width="7.54296875" style="2" customWidth="1"/>
    <col min="6654" max="6654" width="15" style="2" customWidth="1"/>
    <col min="6655" max="6655" width="9.6328125" style="2" customWidth="1"/>
    <col min="6656" max="6656" width="14.54296875" style="2" customWidth="1"/>
    <col min="6657" max="6657" width="14.453125" style="2" customWidth="1"/>
    <col min="6658" max="6658" width="19.90625" style="2" customWidth="1"/>
    <col min="6659" max="6900" width="9.08984375" style="2" customWidth="1"/>
    <col min="6901" max="6902" width="1.36328125" style="2" customWidth="1"/>
    <col min="6903" max="6903" width="3.54296875" style="2"/>
    <col min="6904" max="6904" width="11.90625" style="2" customWidth="1"/>
    <col min="6905" max="6905" width="12.453125" style="2" customWidth="1"/>
    <col min="6906" max="6906" width="9" style="2" customWidth="1"/>
    <col min="6907" max="6907" width="7.453125" style="2" customWidth="1"/>
    <col min="6908" max="6909" width="7.54296875" style="2" customWidth="1"/>
    <col min="6910" max="6910" width="15" style="2" customWidth="1"/>
    <col min="6911" max="6911" width="9.6328125" style="2" customWidth="1"/>
    <col min="6912" max="6912" width="14.54296875" style="2" customWidth="1"/>
    <col min="6913" max="6913" width="14.453125" style="2" customWidth="1"/>
    <col min="6914" max="6914" width="19.90625" style="2" customWidth="1"/>
    <col min="6915" max="7156" width="9.08984375" style="2" customWidth="1"/>
    <col min="7157" max="7158" width="1.36328125" style="2" customWidth="1"/>
    <col min="7159" max="7159" width="3.54296875" style="2"/>
    <col min="7160" max="7160" width="11.90625" style="2" customWidth="1"/>
    <col min="7161" max="7161" width="12.453125" style="2" customWidth="1"/>
    <col min="7162" max="7162" width="9" style="2" customWidth="1"/>
    <col min="7163" max="7163" width="7.453125" style="2" customWidth="1"/>
    <col min="7164" max="7165" width="7.54296875" style="2" customWidth="1"/>
    <col min="7166" max="7166" width="15" style="2" customWidth="1"/>
    <col min="7167" max="7167" width="9.6328125" style="2" customWidth="1"/>
    <col min="7168" max="7168" width="14.54296875" style="2" customWidth="1"/>
    <col min="7169" max="7169" width="14.453125" style="2" customWidth="1"/>
    <col min="7170" max="7170" width="19.90625" style="2" customWidth="1"/>
    <col min="7171" max="7412" width="9.08984375" style="2" customWidth="1"/>
    <col min="7413" max="7414" width="1.36328125" style="2" customWidth="1"/>
    <col min="7415" max="7415" width="3.54296875" style="2"/>
    <col min="7416" max="7416" width="11.90625" style="2" customWidth="1"/>
    <col min="7417" max="7417" width="12.453125" style="2" customWidth="1"/>
    <col min="7418" max="7418" width="9" style="2" customWidth="1"/>
    <col min="7419" max="7419" width="7.453125" style="2" customWidth="1"/>
    <col min="7420" max="7421" width="7.54296875" style="2" customWidth="1"/>
    <col min="7422" max="7422" width="15" style="2" customWidth="1"/>
    <col min="7423" max="7423" width="9.6328125" style="2" customWidth="1"/>
    <col min="7424" max="7424" width="14.54296875" style="2" customWidth="1"/>
    <col min="7425" max="7425" width="14.453125" style="2" customWidth="1"/>
    <col min="7426" max="7426" width="19.90625" style="2" customWidth="1"/>
    <col min="7427" max="7668" width="9.08984375" style="2" customWidth="1"/>
    <col min="7669" max="7670" width="1.36328125" style="2" customWidth="1"/>
    <col min="7671" max="7671" width="3.54296875" style="2"/>
    <col min="7672" max="7672" width="11.90625" style="2" customWidth="1"/>
    <col min="7673" max="7673" width="12.453125" style="2" customWidth="1"/>
    <col min="7674" max="7674" width="9" style="2" customWidth="1"/>
    <col min="7675" max="7675" width="7.453125" style="2" customWidth="1"/>
    <col min="7676" max="7677" width="7.54296875" style="2" customWidth="1"/>
    <col min="7678" max="7678" width="15" style="2" customWidth="1"/>
    <col min="7679" max="7679" width="9.6328125" style="2" customWidth="1"/>
    <col min="7680" max="7680" width="14.54296875" style="2" customWidth="1"/>
    <col min="7681" max="7681" width="14.453125" style="2" customWidth="1"/>
    <col min="7682" max="7682" width="19.90625" style="2" customWidth="1"/>
    <col min="7683" max="7924" width="9.08984375" style="2" customWidth="1"/>
    <col min="7925" max="7926" width="1.36328125" style="2" customWidth="1"/>
    <col min="7927" max="7927" width="3.54296875" style="2"/>
    <col min="7928" max="7928" width="11.90625" style="2" customWidth="1"/>
    <col min="7929" max="7929" width="12.453125" style="2" customWidth="1"/>
    <col min="7930" max="7930" width="9" style="2" customWidth="1"/>
    <col min="7931" max="7931" width="7.453125" style="2" customWidth="1"/>
    <col min="7932" max="7933" width="7.54296875" style="2" customWidth="1"/>
    <col min="7934" max="7934" width="15" style="2" customWidth="1"/>
    <col min="7935" max="7935" width="9.6328125" style="2" customWidth="1"/>
    <col min="7936" max="7936" width="14.54296875" style="2" customWidth="1"/>
    <col min="7937" max="7937" width="14.453125" style="2" customWidth="1"/>
    <col min="7938" max="7938" width="19.90625" style="2" customWidth="1"/>
    <col min="7939" max="8180" width="9.08984375" style="2" customWidth="1"/>
    <col min="8181" max="8182" width="1.36328125" style="2" customWidth="1"/>
    <col min="8183" max="8183" width="3.54296875" style="2"/>
    <col min="8184" max="8184" width="11.90625" style="2" customWidth="1"/>
    <col min="8185" max="8185" width="12.453125" style="2" customWidth="1"/>
    <col min="8186" max="8186" width="9" style="2" customWidth="1"/>
    <col min="8187" max="8187" width="7.453125" style="2" customWidth="1"/>
    <col min="8188" max="8189" width="7.54296875" style="2" customWidth="1"/>
    <col min="8190" max="8190" width="15" style="2" customWidth="1"/>
    <col min="8191" max="8191" width="9.6328125" style="2" customWidth="1"/>
    <col min="8192" max="8192" width="14.54296875" style="2" customWidth="1"/>
    <col min="8193" max="8193" width="14.453125" style="2" customWidth="1"/>
    <col min="8194" max="8194" width="19.90625" style="2" customWidth="1"/>
    <col min="8195" max="8436" width="9.08984375" style="2" customWidth="1"/>
    <col min="8437" max="8438" width="1.36328125" style="2" customWidth="1"/>
    <col min="8439" max="8439" width="3.54296875" style="2"/>
    <col min="8440" max="8440" width="11.90625" style="2" customWidth="1"/>
    <col min="8441" max="8441" width="12.453125" style="2" customWidth="1"/>
    <col min="8442" max="8442" width="9" style="2" customWidth="1"/>
    <col min="8443" max="8443" width="7.453125" style="2" customWidth="1"/>
    <col min="8444" max="8445" width="7.54296875" style="2" customWidth="1"/>
    <col min="8446" max="8446" width="15" style="2" customWidth="1"/>
    <col min="8447" max="8447" width="9.6328125" style="2" customWidth="1"/>
    <col min="8448" max="8448" width="14.54296875" style="2" customWidth="1"/>
    <col min="8449" max="8449" width="14.453125" style="2" customWidth="1"/>
    <col min="8450" max="8450" width="19.90625" style="2" customWidth="1"/>
    <col min="8451" max="8692" width="9.08984375" style="2" customWidth="1"/>
    <col min="8693" max="8694" width="1.36328125" style="2" customWidth="1"/>
    <col min="8695" max="8695" width="3.54296875" style="2"/>
    <col min="8696" max="8696" width="11.90625" style="2" customWidth="1"/>
    <col min="8697" max="8697" width="12.453125" style="2" customWidth="1"/>
    <col min="8698" max="8698" width="9" style="2" customWidth="1"/>
    <col min="8699" max="8699" width="7.453125" style="2" customWidth="1"/>
    <col min="8700" max="8701" width="7.54296875" style="2" customWidth="1"/>
    <col min="8702" max="8702" width="15" style="2" customWidth="1"/>
    <col min="8703" max="8703" width="9.6328125" style="2" customWidth="1"/>
    <col min="8704" max="8704" width="14.54296875" style="2" customWidth="1"/>
    <col min="8705" max="8705" width="14.453125" style="2" customWidth="1"/>
    <col min="8706" max="8706" width="19.90625" style="2" customWidth="1"/>
    <col min="8707" max="8948" width="9.08984375" style="2" customWidth="1"/>
    <col min="8949" max="8950" width="1.36328125" style="2" customWidth="1"/>
    <col min="8951" max="8951" width="3.54296875" style="2"/>
    <col min="8952" max="8952" width="11.90625" style="2" customWidth="1"/>
    <col min="8953" max="8953" width="12.453125" style="2" customWidth="1"/>
    <col min="8954" max="8954" width="9" style="2" customWidth="1"/>
    <col min="8955" max="8955" width="7.453125" style="2" customWidth="1"/>
    <col min="8956" max="8957" width="7.54296875" style="2" customWidth="1"/>
    <col min="8958" max="8958" width="15" style="2" customWidth="1"/>
    <col min="8959" max="8959" width="9.6328125" style="2" customWidth="1"/>
    <col min="8960" max="8960" width="14.54296875" style="2" customWidth="1"/>
    <col min="8961" max="8961" width="14.453125" style="2" customWidth="1"/>
    <col min="8962" max="8962" width="19.90625" style="2" customWidth="1"/>
    <col min="8963" max="9204" width="9.08984375" style="2" customWidth="1"/>
    <col min="9205" max="9206" width="1.36328125" style="2" customWidth="1"/>
    <col min="9207" max="9207" width="3.54296875" style="2"/>
    <col min="9208" max="9208" width="11.90625" style="2" customWidth="1"/>
    <col min="9209" max="9209" width="12.453125" style="2" customWidth="1"/>
    <col min="9210" max="9210" width="9" style="2" customWidth="1"/>
    <col min="9211" max="9211" width="7.453125" style="2" customWidth="1"/>
    <col min="9212" max="9213" width="7.54296875" style="2" customWidth="1"/>
    <col min="9214" max="9214" width="15" style="2" customWidth="1"/>
    <col min="9215" max="9215" width="9.6328125" style="2" customWidth="1"/>
    <col min="9216" max="9216" width="14.54296875" style="2" customWidth="1"/>
    <col min="9217" max="9217" width="14.453125" style="2" customWidth="1"/>
    <col min="9218" max="9218" width="19.90625" style="2" customWidth="1"/>
    <col min="9219" max="9460" width="9.08984375" style="2" customWidth="1"/>
    <col min="9461" max="9462" width="1.36328125" style="2" customWidth="1"/>
    <col min="9463" max="9463" width="3.54296875" style="2"/>
    <col min="9464" max="9464" width="11.90625" style="2" customWidth="1"/>
    <col min="9465" max="9465" width="12.453125" style="2" customWidth="1"/>
    <col min="9466" max="9466" width="9" style="2" customWidth="1"/>
    <col min="9467" max="9467" width="7.453125" style="2" customWidth="1"/>
    <col min="9468" max="9469" width="7.54296875" style="2" customWidth="1"/>
    <col min="9470" max="9470" width="15" style="2" customWidth="1"/>
    <col min="9471" max="9471" width="9.6328125" style="2" customWidth="1"/>
    <col min="9472" max="9472" width="14.54296875" style="2" customWidth="1"/>
    <col min="9473" max="9473" width="14.453125" style="2" customWidth="1"/>
    <col min="9474" max="9474" width="19.90625" style="2" customWidth="1"/>
    <col min="9475" max="9716" width="9.08984375" style="2" customWidth="1"/>
    <col min="9717" max="9718" width="1.36328125" style="2" customWidth="1"/>
    <col min="9719" max="9719" width="3.54296875" style="2"/>
    <col min="9720" max="9720" width="11.90625" style="2" customWidth="1"/>
    <col min="9721" max="9721" width="12.453125" style="2" customWidth="1"/>
    <col min="9722" max="9722" width="9" style="2" customWidth="1"/>
    <col min="9723" max="9723" width="7.453125" style="2" customWidth="1"/>
    <col min="9724" max="9725" width="7.54296875" style="2" customWidth="1"/>
    <col min="9726" max="9726" width="15" style="2" customWidth="1"/>
    <col min="9727" max="9727" width="9.6328125" style="2" customWidth="1"/>
    <col min="9728" max="9728" width="14.54296875" style="2" customWidth="1"/>
    <col min="9729" max="9729" width="14.453125" style="2" customWidth="1"/>
    <col min="9730" max="9730" width="19.90625" style="2" customWidth="1"/>
    <col min="9731" max="9972" width="9.08984375" style="2" customWidth="1"/>
    <col min="9973" max="9974" width="1.36328125" style="2" customWidth="1"/>
    <col min="9975" max="9975" width="3.54296875" style="2"/>
    <col min="9976" max="9976" width="11.90625" style="2" customWidth="1"/>
    <col min="9977" max="9977" width="12.453125" style="2" customWidth="1"/>
    <col min="9978" max="9978" width="9" style="2" customWidth="1"/>
    <col min="9979" max="9979" width="7.453125" style="2" customWidth="1"/>
    <col min="9980" max="9981" width="7.54296875" style="2" customWidth="1"/>
    <col min="9982" max="9982" width="15" style="2" customWidth="1"/>
    <col min="9983" max="9983" width="9.6328125" style="2" customWidth="1"/>
    <col min="9984" max="9984" width="14.54296875" style="2" customWidth="1"/>
    <col min="9985" max="9985" width="14.453125" style="2" customWidth="1"/>
    <col min="9986" max="9986" width="19.90625" style="2" customWidth="1"/>
    <col min="9987" max="10228" width="9.08984375" style="2" customWidth="1"/>
    <col min="10229" max="10230" width="1.36328125" style="2" customWidth="1"/>
    <col min="10231" max="10231" width="3.54296875" style="2"/>
    <col min="10232" max="10232" width="11.90625" style="2" customWidth="1"/>
    <col min="10233" max="10233" width="12.453125" style="2" customWidth="1"/>
    <col min="10234" max="10234" width="9" style="2" customWidth="1"/>
    <col min="10235" max="10235" width="7.453125" style="2" customWidth="1"/>
    <col min="10236" max="10237" width="7.54296875" style="2" customWidth="1"/>
    <col min="10238" max="10238" width="15" style="2" customWidth="1"/>
    <col min="10239" max="10239" width="9.6328125" style="2" customWidth="1"/>
    <col min="10240" max="10240" width="14.54296875" style="2" customWidth="1"/>
    <col min="10241" max="10241" width="14.453125" style="2" customWidth="1"/>
    <col min="10242" max="10242" width="19.90625" style="2" customWidth="1"/>
    <col min="10243" max="10484" width="9.08984375" style="2" customWidth="1"/>
    <col min="10485" max="10486" width="1.36328125" style="2" customWidth="1"/>
    <col min="10487" max="10487" width="3.54296875" style="2"/>
    <col min="10488" max="10488" width="11.90625" style="2" customWidth="1"/>
    <col min="10489" max="10489" width="12.453125" style="2" customWidth="1"/>
    <col min="10490" max="10490" width="9" style="2" customWidth="1"/>
    <col min="10491" max="10491" width="7.453125" style="2" customWidth="1"/>
    <col min="10492" max="10493" width="7.54296875" style="2" customWidth="1"/>
    <col min="10494" max="10494" width="15" style="2" customWidth="1"/>
    <col min="10495" max="10495" width="9.6328125" style="2" customWidth="1"/>
    <col min="10496" max="10496" width="14.54296875" style="2" customWidth="1"/>
    <col min="10497" max="10497" width="14.453125" style="2" customWidth="1"/>
    <col min="10498" max="10498" width="19.90625" style="2" customWidth="1"/>
    <col min="10499" max="10740" width="9.08984375" style="2" customWidth="1"/>
    <col min="10741" max="10742" width="1.36328125" style="2" customWidth="1"/>
    <col min="10743" max="10743" width="3.54296875" style="2"/>
    <col min="10744" max="10744" width="11.90625" style="2" customWidth="1"/>
    <col min="10745" max="10745" width="12.453125" style="2" customWidth="1"/>
    <col min="10746" max="10746" width="9" style="2" customWidth="1"/>
    <col min="10747" max="10747" width="7.453125" style="2" customWidth="1"/>
    <col min="10748" max="10749" width="7.54296875" style="2" customWidth="1"/>
    <col min="10750" max="10750" width="15" style="2" customWidth="1"/>
    <col min="10751" max="10751" width="9.6328125" style="2" customWidth="1"/>
    <col min="10752" max="10752" width="14.54296875" style="2" customWidth="1"/>
    <col min="10753" max="10753" width="14.453125" style="2" customWidth="1"/>
    <col min="10754" max="10754" width="19.90625" style="2" customWidth="1"/>
    <col min="10755" max="10996" width="9.08984375" style="2" customWidth="1"/>
    <col min="10997" max="10998" width="1.36328125" style="2" customWidth="1"/>
    <col min="10999" max="10999" width="3.54296875" style="2"/>
    <col min="11000" max="11000" width="11.90625" style="2" customWidth="1"/>
    <col min="11001" max="11001" width="12.453125" style="2" customWidth="1"/>
    <col min="11002" max="11002" width="9" style="2" customWidth="1"/>
    <col min="11003" max="11003" width="7.453125" style="2" customWidth="1"/>
    <col min="11004" max="11005" width="7.54296875" style="2" customWidth="1"/>
    <col min="11006" max="11006" width="15" style="2" customWidth="1"/>
    <col min="11007" max="11007" width="9.6328125" style="2" customWidth="1"/>
    <col min="11008" max="11008" width="14.54296875" style="2" customWidth="1"/>
    <col min="11009" max="11009" width="14.453125" style="2" customWidth="1"/>
    <col min="11010" max="11010" width="19.90625" style="2" customWidth="1"/>
    <col min="11011" max="11252" width="9.08984375" style="2" customWidth="1"/>
    <col min="11253" max="11254" width="1.36328125" style="2" customWidth="1"/>
    <col min="11255" max="11255" width="3.54296875" style="2"/>
    <col min="11256" max="11256" width="11.90625" style="2" customWidth="1"/>
    <col min="11257" max="11257" width="12.453125" style="2" customWidth="1"/>
    <col min="11258" max="11258" width="9" style="2" customWidth="1"/>
    <col min="11259" max="11259" width="7.453125" style="2" customWidth="1"/>
    <col min="11260" max="11261" width="7.54296875" style="2" customWidth="1"/>
    <col min="11262" max="11262" width="15" style="2" customWidth="1"/>
    <col min="11263" max="11263" width="9.6328125" style="2" customWidth="1"/>
    <col min="11264" max="11264" width="14.54296875" style="2" customWidth="1"/>
    <col min="11265" max="11265" width="14.453125" style="2" customWidth="1"/>
    <col min="11266" max="11266" width="19.90625" style="2" customWidth="1"/>
    <col min="11267" max="11508" width="9.08984375" style="2" customWidth="1"/>
    <col min="11509" max="11510" width="1.36328125" style="2" customWidth="1"/>
    <col min="11511" max="11511" width="3.54296875" style="2"/>
    <col min="11512" max="11512" width="11.90625" style="2" customWidth="1"/>
    <col min="11513" max="11513" width="12.453125" style="2" customWidth="1"/>
    <col min="11514" max="11514" width="9" style="2" customWidth="1"/>
    <col min="11515" max="11515" width="7.453125" style="2" customWidth="1"/>
    <col min="11516" max="11517" width="7.54296875" style="2" customWidth="1"/>
    <col min="11518" max="11518" width="15" style="2" customWidth="1"/>
    <col min="11519" max="11519" width="9.6328125" style="2" customWidth="1"/>
    <col min="11520" max="11520" width="14.54296875" style="2" customWidth="1"/>
    <col min="11521" max="11521" width="14.453125" style="2" customWidth="1"/>
    <col min="11522" max="11522" width="19.90625" style="2" customWidth="1"/>
    <col min="11523" max="11764" width="9.08984375" style="2" customWidth="1"/>
    <col min="11765" max="11766" width="1.36328125" style="2" customWidth="1"/>
    <col min="11767" max="11767" width="3.54296875" style="2"/>
    <col min="11768" max="11768" width="11.90625" style="2" customWidth="1"/>
    <col min="11769" max="11769" width="12.453125" style="2" customWidth="1"/>
    <col min="11770" max="11770" width="9" style="2" customWidth="1"/>
    <col min="11771" max="11771" width="7.453125" style="2" customWidth="1"/>
    <col min="11772" max="11773" width="7.54296875" style="2" customWidth="1"/>
    <col min="11774" max="11774" width="15" style="2" customWidth="1"/>
    <col min="11775" max="11775" width="9.6328125" style="2" customWidth="1"/>
    <col min="11776" max="11776" width="14.54296875" style="2" customWidth="1"/>
    <col min="11777" max="11777" width="14.453125" style="2" customWidth="1"/>
    <col min="11778" max="11778" width="19.90625" style="2" customWidth="1"/>
    <col min="11779" max="12020" width="9.08984375" style="2" customWidth="1"/>
    <col min="12021" max="12022" width="1.36328125" style="2" customWidth="1"/>
    <col min="12023" max="12023" width="3.54296875" style="2"/>
    <col min="12024" max="12024" width="11.90625" style="2" customWidth="1"/>
    <col min="12025" max="12025" width="12.453125" style="2" customWidth="1"/>
    <col min="12026" max="12026" width="9" style="2" customWidth="1"/>
    <col min="12027" max="12027" width="7.453125" style="2" customWidth="1"/>
    <col min="12028" max="12029" width="7.54296875" style="2" customWidth="1"/>
    <col min="12030" max="12030" width="15" style="2" customWidth="1"/>
    <col min="12031" max="12031" width="9.6328125" style="2" customWidth="1"/>
    <col min="12032" max="12032" width="14.54296875" style="2" customWidth="1"/>
    <col min="12033" max="12033" width="14.453125" style="2" customWidth="1"/>
    <col min="12034" max="12034" width="19.90625" style="2" customWidth="1"/>
    <col min="12035" max="12276" width="9.08984375" style="2" customWidth="1"/>
    <col min="12277" max="12278" width="1.36328125" style="2" customWidth="1"/>
    <col min="12279" max="12279" width="3.54296875" style="2"/>
    <col min="12280" max="12280" width="11.90625" style="2" customWidth="1"/>
    <col min="12281" max="12281" width="12.453125" style="2" customWidth="1"/>
    <col min="12282" max="12282" width="9" style="2" customWidth="1"/>
    <col min="12283" max="12283" width="7.453125" style="2" customWidth="1"/>
    <col min="12284" max="12285" width="7.54296875" style="2" customWidth="1"/>
    <col min="12286" max="12286" width="15" style="2" customWidth="1"/>
    <col min="12287" max="12287" width="9.6328125" style="2" customWidth="1"/>
    <col min="12288" max="12288" width="14.54296875" style="2" customWidth="1"/>
    <col min="12289" max="12289" width="14.453125" style="2" customWidth="1"/>
    <col min="12290" max="12290" width="19.90625" style="2" customWidth="1"/>
    <col min="12291" max="12532" width="9.08984375" style="2" customWidth="1"/>
    <col min="12533" max="12534" width="1.36328125" style="2" customWidth="1"/>
    <col min="12535" max="12535" width="3.54296875" style="2"/>
    <col min="12536" max="12536" width="11.90625" style="2" customWidth="1"/>
    <col min="12537" max="12537" width="12.453125" style="2" customWidth="1"/>
    <col min="12538" max="12538" width="9" style="2" customWidth="1"/>
    <col min="12539" max="12539" width="7.453125" style="2" customWidth="1"/>
    <col min="12540" max="12541" width="7.54296875" style="2" customWidth="1"/>
    <col min="12542" max="12542" width="15" style="2" customWidth="1"/>
    <col min="12543" max="12543" width="9.6328125" style="2" customWidth="1"/>
    <col min="12544" max="12544" width="14.54296875" style="2" customWidth="1"/>
    <col min="12545" max="12545" width="14.453125" style="2" customWidth="1"/>
    <col min="12546" max="12546" width="19.90625" style="2" customWidth="1"/>
    <col min="12547" max="12788" width="9.08984375" style="2" customWidth="1"/>
    <col min="12789" max="12790" width="1.36328125" style="2" customWidth="1"/>
    <col min="12791" max="12791" width="3.54296875" style="2"/>
    <col min="12792" max="12792" width="11.90625" style="2" customWidth="1"/>
    <col min="12793" max="12793" width="12.453125" style="2" customWidth="1"/>
    <col min="12794" max="12794" width="9" style="2" customWidth="1"/>
    <col min="12795" max="12795" width="7.453125" style="2" customWidth="1"/>
    <col min="12796" max="12797" width="7.54296875" style="2" customWidth="1"/>
    <col min="12798" max="12798" width="15" style="2" customWidth="1"/>
    <col min="12799" max="12799" width="9.6328125" style="2" customWidth="1"/>
    <col min="12800" max="12800" width="14.54296875" style="2" customWidth="1"/>
    <col min="12801" max="12801" width="14.453125" style="2" customWidth="1"/>
    <col min="12802" max="12802" width="19.90625" style="2" customWidth="1"/>
    <col min="12803" max="13044" width="9.08984375" style="2" customWidth="1"/>
    <col min="13045" max="13046" width="1.36328125" style="2" customWidth="1"/>
    <col min="13047" max="13047" width="3.54296875" style="2"/>
    <col min="13048" max="13048" width="11.90625" style="2" customWidth="1"/>
    <col min="13049" max="13049" width="12.453125" style="2" customWidth="1"/>
    <col min="13050" max="13050" width="9" style="2" customWidth="1"/>
    <col min="13051" max="13051" width="7.453125" style="2" customWidth="1"/>
    <col min="13052" max="13053" width="7.54296875" style="2" customWidth="1"/>
    <col min="13054" max="13054" width="15" style="2" customWidth="1"/>
    <col min="13055" max="13055" width="9.6328125" style="2" customWidth="1"/>
    <col min="13056" max="13056" width="14.54296875" style="2" customWidth="1"/>
    <col min="13057" max="13057" width="14.453125" style="2" customWidth="1"/>
    <col min="13058" max="13058" width="19.90625" style="2" customWidth="1"/>
    <col min="13059" max="13300" width="9.08984375" style="2" customWidth="1"/>
    <col min="13301" max="13302" width="1.36328125" style="2" customWidth="1"/>
    <col min="13303" max="13303" width="3.54296875" style="2"/>
    <col min="13304" max="13304" width="11.90625" style="2" customWidth="1"/>
    <col min="13305" max="13305" width="12.453125" style="2" customWidth="1"/>
    <col min="13306" max="13306" width="9" style="2" customWidth="1"/>
    <col min="13307" max="13307" width="7.453125" style="2" customWidth="1"/>
    <col min="13308" max="13309" width="7.54296875" style="2" customWidth="1"/>
    <col min="13310" max="13310" width="15" style="2" customWidth="1"/>
    <col min="13311" max="13311" width="9.6328125" style="2" customWidth="1"/>
    <col min="13312" max="13312" width="14.54296875" style="2" customWidth="1"/>
    <col min="13313" max="13313" width="14.453125" style="2" customWidth="1"/>
    <col min="13314" max="13314" width="19.90625" style="2" customWidth="1"/>
    <col min="13315" max="13556" width="9.08984375" style="2" customWidth="1"/>
    <col min="13557" max="13558" width="1.36328125" style="2" customWidth="1"/>
    <col min="13559" max="13559" width="3.54296875" style="2"/>
    <col min="13560" max="13560" width="11.90625" style="2" customWidth="1"/>
    <col min="13561" max="13561" width="12.453125" style="2" customWidth="1"/>
    <col min="13562" max="13562" width="9" style="2" customWidth="1"/>
    <col min="13563" max="13563" width="7.453125" style="2" customWidth="1"/>
    <col min="13564" max="13565" width="7.54296875" style="2" customWidth="1"/>
    <col min="13566" max="13566" width="15" style="2" customWidth="1"/>
    <col min="13567" max="13567" width="9.6328125" style="2" customWidth="1"/>
    <col min="13568" max="13568" width="14.54296875" style="2" customWidth="1"/>
    <col min="13569" max="13569" width="14.453125" style="2" customWidth="1"/>
    <col min="13570" max="13570" width="19.90625" style="2" customWidth="1"/>
    <col min="13571" max="13812" width="9.08984375" style="2" customWidth="1"/>
    <col min="13813" max="13814" width="1.36328125" style="2" customWidth="1"/>
    <col min="13815" max="13815" width="3.54296875" style="2"/>
    <col min="13816" max="13816" width="11.90625" style="2" customWidth="1"/>
    <col min="13817" max="13817" width="12.453125" style="2" customWidth="1"/>
    <col min="13818" max="13818" width="9" style="2" customWidth="1"/>
    <col min="13819" max="13819" width="7.453125" style="2" customWidth="1"/>
    <col min="13820" max="13821" width="7.54296875" style="2" customWidth="1"/>
    <col min="13822" max="13822" width="15" style="2" customWidth="1"/>
    <col min="13823" max="13823" width="9.6328125" style="2" customWidth="1"/>
    <col min="13824" max="13824" width="14.54296875" style="2" customWidth="1"/>
    <col min="13825" max="13825" width="14.453125" style="2" customWidth="1"/>
    <col min="13826" max="13826" width="19.90625" style="2" customWidth="1"/>
    <col min="13827" max="14068" width="9.08984375" style="2" customWidth="1"/>
    <col min="14069" max="14070" width="1.36328125" style="2" customWidth="1"/>
    <col min="14071" max="14071" width="3.54296875" style="2"/>
    <col min="14072" max="14072" width="11.90625" style="2" customWidth="1"/>
    <col min="14073" max="14073" width="12.453125" style="2" customWidth="1"/>
    <col min="14074" max="14074" width="9" style="2" customWidth="1"/>
    <col min="14075" max="14075" width="7.453125" style="2" customWidth="1"/>
    <col min="14076" max="14077" width="7.54296875" style="2" customWidth="1"/>
    <col min="14078" max="14078" width="15" style="2" customWidth="1"/>
    <col min="14079" max="14079" width="9.6328125" style="2" customWidth="1"/>
    <col min="14080" max="14080" width="14.54296875" style="2" customWidth="1"/>
    <col min="14081" max="14081" width="14.453125" style="2" customWidth="1"/>
    <col min="14082" max="14082" width="19.90625" style="2" customWidth="1"/>
    <col min="14083" max="14324" width="9.08984375" style="2" customWidth="1"/>
    <col min="14325" max="14326" width="1.36328125" style="2" customWidth="1"/>
    <col min="14327" max="14327" width="3.54296875" style="2"/>
    <col min="14328" max="14328" width="11.90625" style="2" customWidth="1"/>
    <col min="14329" max="14329" width="12.453125" style="2" customWidth="1"/>
    <col min="14330" max="14330" width="9" style="2" customWidth="1"/>
    <col min="14331" max="14331" width="7.453125" style="2" customWidth="1"/>
    <col min="14332" max="14333" width="7.54296875" style="2" customWidth="1"/>
    <col min="14334" max="14334" width="15" style="2" customWidth="1"/>
    <col min="14335" max="14335" width="9.6328125" style="2" customWidth="1"/>
    <col min="14336" max="14336" width="14.54296875" style="2" customWidth="1"/>
    <col min="14337" max="14337" width="14.453125" style="2" customWidth="1"/>
    <col min="14338" max="14338" width="19.90625" style="2" customWidth="1"/>
    <col min="14339" max="14580" width="9.08984375" style="2" customWidth="1"/>
    <col min="14581" max="14582" width="1.36328125" style="2" customWidth="1"/>
    <col min="14583" max="14583" width="3.54296875" style="2"/>
    <col min="14584" max="14584" width="11.90625" style="2" customWidth="1"/>
    <col min="14585" max="14585" width="12.453125" style="2" customWidth="1"/>
    <col min="14586" max="14586" width="9" style="2" customWidth="1"/>
    <col min="14587" max="14587" width="7.453125" style="2" customWidth="1"/>
    <col min="14588" max="14589" width="7.54296875" style="2" customWidth="1"/>
    <col min="14590" max="14590" width="15" style="2" customWidth="1"/>
    <col min="14591" max="14591" width="9.6328125" style="2" customWidth="1"/>
    <col min="14592" max="14592" width="14.54296875" style="2" customWidth="1"/>
    <col min="14593" max="14593" width="14.453125" style="2" customWidth="1"/>
    <col min="14594" max="14594" width="19.90625" style="2" customWidth="1"/>
    <col min="14595" max="14836" width="9.08984375" style="2" customWidth="1"/>
    <col min="14837" max="14838" width="1.36328125" style="2" customWidth="1"/>
    <col min="14839" max="14839" width="3.54296875" style="2"/>
    <col min="14840" max="14840" width="11.90625" style="2" customWidth="1"/>
    <col min="14841" max="14841" width="12.453125" style="2" customWidth="1"/>
    <col min="14842" max="14842" width="9" style="2" customWidth="1"/>
    <col min="14843" max="14843" width="7.453125" style="2" customWidth="1"/>
    <col min="14844" max="14845" width="7.54296875" style="2" customWidth="1"/>
    <col min="14846" max="14846" width="15" style="2" customWidth="1"/>
    <col min="14847" max="14847" width="9.6328125" style="2" customWidth="1"/>
    <col min="14848" max="14848" width="14.54296875" style="2" customWidth="1"/>
    <col min="14849" max="14849" width="14.453125" style="2" customWidth="1"/>
    <col min="14850" max="14850" width="19.90625" style="2" customWidth="1"/>
    <col min="14851" max="15092" width="9.08984375" style="2" customWidth="1"/>
    <col min="15093" max="15094" width="1.36328125" style="2" customWidth="1"/>
    <col min="15095" max="15095" width="3.54296875" style="2"/>
    <col min="15096" max="15096" width="11.90625" style="2" customWidth="1"/>
    <col min="15097" max="15097" width="12.453125" style="2" customWidth="1"/>
    <col min="15098" max="15098" width="9" style="2" customWidth="1"/>
    <col min="15099" max="15099" width="7.453125" style="2" customWidth="1"/>
    <col min="15100" max="15101" width="7.54296875" style="2" customWidth="1"/>
    <col min="15102" max="15102" width="15" style="2" customWidth="1"/>
    <col min="15103" max="15103" width="9.6328125" style="2" customWidth="1"/>
    <col min="15104" max="15104" width="14.54296875" style="2" customWidth="1"/>
    <col min="15105" max="15105" width="14.453125" style="2" customWidth="1"/>
    <col min="15106" max="15106" width="19.90625" style="2" customWidth="1"/>
    <col min="15107" max="15348" width="9.08984375" style="2" customWidth="1"/>
    <col min="15349" max="15350" width="1.36328125" style="2" customWidth="1"/>
    <col min="15351" max="15351" width="3.54296875" style="2"/>
    <col min="15352" max="15352" width="11.90625" style="2" customWidth="1"/>
    <col min="15353" max="15353" width="12.453125" style="2" customWidth="1"/>
    <col min="15354" max="15354" width="9" style="2" customWidth="1"/>
    <col min="15355" max="15355" width="7.453125" style="2" customWidth="1"/>
    <col min="15356" max="15357" width="7.54296875" style="2" customWidth="1"/>
    <col min="15358" max="15358" width="15" style="2" customWidth="1"/>
    <col min="15359" max="15359" width="9.6328125" style="2" customWidth="1"/>
    <col min="15360" max="15360" width="14.54296875" style="2" customWidth="1"/>
    <col min="15361" max="15361" width="14.453125" style="2" customWidth="1"/>
    <col min="15362" max="15362" width="19.90625" style="2" customWidth="1"/>
    <col min="15363" max="15604" width="9.08984375" style="2" customWidth="1"/>
    <col min="15605" max="15606" width="1.36328125" style="2" customWidth="1"/>
    <col min="15607" max="15607" width="3.54296875" style="2"/>
    <col min="15608" max="15608" width="11.90625" style="2" customWidth="1"/>
    <col min="15609" max="15609" width="12.453125" style="2" customWidth="1"/>
    <col min="15610" max="15610" width="9" style="2" customWidth="1"/>
    <col min="15611" max="15611" width="7.453125" style="2" customWidth="1"/>
    <col min="15612" max="15613" width="7.54296875" style="2" customWidth="1"/>
    <col min="15614" max="15614" width="15" style="2" customWidth="1"/>
    <col min="15615" max="15615" width="9.6328125" style="2" customWidth="1"/>
    <col min="15616" max="15616" width="14.54296875" style="2" customWidth="1"/>
    <col min="15617" max="15617" width="14.453125" style="2" customWidth="1"/>
    <col min="15618" max="15618" width="19.90625" style="2" customWidth="1"/>
    <col min="15619" max="15860" width="9.08984375" style="2" customWidth="1"/>
    <col min="15861" max="15862" width="1.36328125" style="2" customWidth="1"/>
    <col min="15863" max="15863" width="3.54296875" style="2"/>
    <col min="15864" max="15864" width="11.90625" style="2" customWidth="1"/>
    <col min="15865" max="15865" width="12.453125" style="2" customWidth="1"/>
    <col min="15866" max="15866" width="9" style="2" customWidth="1"/>
    <col min="15867" max="15867" width="7.453125" style="2" customWidth="1"/>
    <col min="15868" max="15869" width="7.54296875" style="2" customWidth="1"/>
    <col min="15870" max="15870" width="15" style="2" customWidth="1"/>
    <col min="15871" max="15871" width="9.6328125" style="2" customWidth="1"/>
    <col min="15872" max="15872" width="14.54296875" style="2" customWidth="1"/>
    <col min="15873" max="15873" width="14.453125" style="2" customWidth="1"/>
    <col min="15874" max="15874" width="19.90625" style="2" customWidth="1"/>
    <col min="15875" max="16116" width="9.08984375" style="2" customWidth="1"/>
    <col min="16117" max="16118" width="1.36328125" style="2" customWidth="1"/>
    <col min="16119" max="16119" width="3.54296875" style="2"/>
    <col min="16120" max="16120" width="11.90625" style="2" customWidth="1"/>
    <col min="16121" max="16121" width="12.453125" style="2" customWidth="1"/>
    <col min="16122" max="16122" width="9" style="2" customWidth="1"/>
    <col min="16123" max="16123" width="7.453125" style="2" customWidth="1"/>
    <col min="16124" max="16125" width="7.54296875" style="2" customWidth="1"/>
    <col min="16126" max="16126" width="15" style="2" customWidth="1"/>
    <col min="16127" max="16127" width="9.6328125" style="2" customWidth="1"/>
    <col min="16128" max="16128" width="14.54296875" style="2" customWidth="1"/>
    <col min="16129" max="16129" width="14.453125" style="2" customWidth="1"/>
    <col min="16130" max="16130" width="19.90625" style="2" customWidth="1"/>
    <col min="16131" max="16372" width="9.08984375" style="2" customWidth="1"/>
    <col min="16373" max="16374" width="1.36328125" style="2" customWidth="1"/>
    <col min="16375" max="16384" width="3.54296875" style="2"/>
  </cols>
  <sheetData>
    <row r="2" spans="1:247" ht="15">
      <c r="B2" s="479" t="s">
        <v>859</v>
      </c>
    </row>
    <row r="3" spans="1:247" ht="15">
      <c r="A3" s="1"/>
      <c r="B3" s="187" t="s">
        <v>62</v>
      </c>
    </row>
    <row r="4" spans="1:247" ht="14.5">
      <c r="A4" s="3"/>
      <c r="B4" s="138"/>
    </row>
    <row r="5" spans="1:247" s="137" customFormat="1" ht="15">
      <c r="A5" s="3"/>
      <c r="B5" s="187" t="s">
        <v>63</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s="137" customFormat="1" ht="14.5">
      <c r="A6" s="3"/>
      <c r="B6" s="138"/>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ht="84">
      <c r="A7" s="122"/>
      <c r="B7" s="189" t="s">
        <v>576</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ht="14.5">
      <c r="A8" s="3"/>
      <c r="B8" s="138"/>
    </row>
    <row r="9" spans="1:247">
      <c r="A9" s="5"/>
      <c r="B9" s="190" t="s">
        <v>68</v>
      </c>
    </row>
    <row r="10" spans="1:247">
      <c r="A10" s="5"/>
      <c r="B10" s="190" t="s">
        <v>577</v>
      </c>
    </row>
    <row r="11" spans="1:247">
      <c r="A11" s="5"/>
      <c r="B11" s="190"/>
    </row>
    <row r="12" spans="1:247">
      <c r="A12" s="5">
        <v>1.1000000000000001</v>
      </c>
      <c r="B12" s="190" t="s">
        <v>578</v>
      </c>
    </row>
    <row r="13" spans="1:247">
      <c r="A13" s="5"/>
      <c r="B13" s="190" t="s">
        <v>69</v>
      </c>
    </row>
    <row r="14" spans="1:247">
      <c r="A14" s="5"/>
      <c r="B14" s="190"/>
    </row>
    <row r="15" spans="1:247">
      <c r="A15" s="5"/>
      <c r="B15" s="190" t="s">
        <v>70</v>
      </c>
    </row>
    <row r="16" spans="1:247">
      <c r="A16" s="5"/>
      <c r="B16" s="190" t="s">
        <v>71</v>
      </c>
    </row>
    <row r="17" spans="1:2">
      <c r="A17" s="5"/>
      <c r="B17" s="190" t="s">
        <v>72</v>
      </c>
    </row>
    <row r="18" spans="1:2">
      <c r="A18" s="5"/>
      <c r="B18" s="190" t="s">
        <v>73</v>
      </c>
    </row>
    <row r="19" spans="1:2">
      <c r="A19" s="5"/>
      <c r="B19" s="190"/>
    </row>
    <row r="20" spans="1:2">
      <c r="A20" s="5"/>
      <c r="B20" s="190" t="s">
        <v>74</v>
      </c>
    </row>
    <row r="21" spans="1:2">
      <c r="A21" s="5"/>
      <c r="B21" s="190" t="s">
        <v>579</v>
      </c>
    </row>
    <row r="22" spans="1:2">
      <c r="A22" s="5">
        <v>1.2</v>
      </c>
      <c r="B22" s="190"/>
    </row>
    <row r="23" spans="1:2">
      <c r="A23" s="5"/>
      <c r="B23" s="190" t="s">
        <v>580</v>
      </c>
    </row>
    <row r="24" spans="1:2" ht="28">
      <c r="A24" s="5"/>
      <c r="B24" s="190" t="s">
        <v>75</v>
      </c>
    </row>
    <row r="25" spans="1:2">
      <c r="A25" s="5"/>
      <c r="B25" s="190" t="s">
        <v>76</v>
      </c>
    </row>
    <row r="26" spans="1:2">
      <c r="A26" s="5"/>
      <c r="B26" s="190" t="s">
        <v>77</v>
      </c>
    </row>
    <row r="27" spans="1:2">
      <c r="A27" s="5"/>
      <c r="B27" s="190"/>
    </row>
    <row r="28" spans="1:2">
      <c r="A28" s="5"/>
      <c r="B28" s="191" t="s">
        <v>78</v>
      </c>
    </row>
    <row r="29" spans="1:2" ht="14.5">
      <c r="A29" s="5"/>
      <c r="B29" s="138"/>
    </row>
    <row r="30" spans="1:2">
      <c r="A30" s="5"/>
      <c r="B30" s="188" t="s">
        <v>79</v>
      </c>
    </row>
    <row r="31" spans="1:2" ht="14.5">
      <c r="A31" s="5" t="s">
        <v>34</v>
      </c>
      <c r="B31" s="138"/>
    </row>
    <row r="32" spans="1:2">
      <c r="A32" s="5" t="s">
        <v>34</v>
      </c>
      <c r="B32" s="189" t="s">
        <v>80</v>
      </c>
    </row>
    <row r="33" spans="1:2">
      <c r="A33" s="5"/>
      <c r="B33" s="189" t="s">
        <v>81</v>
      </c>
    </row>
    <row r="34" spans="1:2" ht="28">
      <c r="A34" s="5"/>
      <c r="B34" s="189" t="s">
        <v>82</v>
      </c>
    </row>
    <row r="35" spans="1:2">
      <c r="A35" s="5"/>
      <c r="B35" s="189" t="s">
        <v>83</v>
      </c>
    </row>
    <row r="36" spans="1:2">
      <c r="A36" s="5"/>
      <c r="B36" s="189" t="s">
        <v>84</v>
      </c>
    </row>
    <row r="37" spans="1:2" ht="14.5">
      <c r="A37" s="5"/>
      <c r="B37" s="138"/>
    </row>
    <row r="38" spans="1:2">
      <c r="A38" s="5"/>
      <c r="B38" s="188" t="s">
        <v>85</v>
      </c>
    </row>
    <row r="39" spans="1:2" ht="28">
      <c r="A39" s="5">
        <v>1.3</v>
      </c>
      <c r="B39" s="189" t="s">
        <v>86</v>
      </c>
    </row>
    <row r="40" spans="1:2">
      <c r="A40" s="5"/>
      <c r="B40" s="189" t="s">
        <v>87</v>
      </c>
    </row>
    <row r="41" spans="1:2">
      <c r="A41" s="5"/>
      <c r="B41" s="189" t="s">
        <v>88</v>
      </c>
    </row>
    <row r="42" spans="1:2" ht="14.5">
      <c r="A42" s="5"/>
      <c r="B42" s="138"/>
    </row>
    <row r="43" spans="1:2">
      <c r="A43" s="5"/>
      <c r="B43" s="188" t="s">
        <v>89</v>
      </c>
    </row>
    <row r="44" spans="1:2">
      <c r="A44" s="5"/>
      <c r="B44" s="189" t="s">
        <v>90</v>
      </c>
    </row>
    <row r="45" spans="1:2">
      <c r="A45" s="5"/>
      <c r="B45" s="189" t="s">
        <v>91</v>
      </c>
    </row>
    <row r="46" spans="1:2">
      <c r="A46" s="5">
        <v>1.4</v>
      </c>
      <c r="B46" s="189" t="s">
        <v>92</v>
      </c>
    </row>
    <row r="47" spans="1:2">
      <c r="A47" s="5"/>
      <c r="B47" s="189" t="s">
        <v>581</v>
      </c>
    </row>
    <row r="48" spans="1:2">
      <c r="A48" s="5"/>
      <c r="B48" s="189" t="s">
        <v>93</v>
      </c>
    </row>
    <row r="49" spans="1:2">
      <c r="A49" s="5"/>
      <c r="B49" s="189" t="s">
        <v>94</v>
      </c>
    </row>
    <row r="50" spans="1:2">
      <c r="A50" s="5"/>
      <c r="B50" s="189" t="s">
        <v>582</v>
      </c>
    </row>
    <row r="51" spans="1:2" ht="14.5">
      <c r="A51" s="5"/>
      <c r="B51" s="138"/>
    </row>
    <row r="52" spans="1:2">
      <c r="A52" s="5"/>
      <c r="B52" s="189" t="s">
        <v>95</v>
      </c>
    </row>
    <row r="53" spans="1:2">
      <c r="A53" s="5">
        <v>1.5</v>
      </c>
      <c r="B53" s="189" t="s">
        <v>96</v>
      </c>
    </row>
    <row r="54" spans="1:2">
      <c r="A54" s="5"/>
      <c r="B54" s="189" t="s">
        <v>97</v>
      </c>
    </row>
    <row r="55" spans="1:2">
      <c r="A55" s="5"/>
      <c r="B55" s="189" t="s">
        <v>98</v>
      </c>
    </row>
    <row r="56" spans="1:2">
      <c r="A56" s="5"/>
      <c r="B56" s="189" t="s">
        <v>99</v>
      </c>
    </row>
    <row r="57" spans="1:2">
      <c r="A57" s="5"/>
      <c r="B57" s="189" t="s">
        <v>100</v>
      </c>
    </row>
    <row r="58" spans="1:2" ht="14.5">
      <c r="A58" s="5"/>
      <c r="B58" s="138"/>
    </row>
    <row r="59" spans="1:2">
      <c r="A59" s="5"/>
      <c r="B59" s="189" t="s">
        <v>583</v>
      </c>
    </row>
    <row r="60" spans="1:2">
      <c r="A60" s="5"/>
      <c r="B60" s="189" t="s">
        <v>101</v>
      </c>
    </row>
    <row r="61" spans="1:2">
      <c r="A61" s="5"/>
      <c r="B61" s="189" t="s">
        <v>584</v>
      </c>
    </row>
    <row r="62" spans="1:2" ht="14.5">
      <c r="A62" s="5"/>
      <c r="B62" s="138"/>
    </row>
    <row r="63" spans="1:2">
      <c r="A63" s="5"/>
      <c r="B63" s="189" t="s">
        <v>585</v>
      </c>
    </row>
    <row r="64" spans="1:2" ht="14.5">
      <c r="A64" s="5"/>
      <c r="B64" s="138"/>
    </row>
    <row r="65" spans="1:6">
      <c r="A65" s="5"/>
      <c r="B65" s="188" t="s">
        <v>102</v>
      </c>
    </row>
    <row r="66" spans="1:6">
      <c r="A66" s="5">
        <v>1.6</v>
      </c>
      <c r="B66" s="189" t="s">
        <v>103</v>
      </c>
    </row>
    <row r="67" spans="1:6">
      <c r="A67" s="5"/>
      <c r="B67" s="189" t="s">
        <v>104</v>
      </c>
    </row>
    <row r="68" spans="1:6" ht="14.5">
      <c r="A68" s="5"/>
      <c r="B68" s="138"/>
    </row>
    <row r="69" spans="1:6">
      <c r="A69" s="5"/>
      <c r="B69" s="189" t="s">
        <v>105</v>
      </c>
      <c r="F69" s="174"/>
    </row>
    <row r="70" spans="1:6">
      <c r="A70" s="5"/>
      <c r="B70" s="189" t="s">
        <v>106</v>
      </c>
    </row>
    <row r="71" spans="1:6">
      <c r="A71" s="5"/>
      <c r="B71" s="189" t="s">
        <v>107</v>
      </c>
    </row>
    <row r="72" spans="1:6">
      <c r="A72" s="5"/>
      <c r="B72" s="189" t="s">
        <v>108</v>
      </c>
    </row>
    <row r="73" spans="1:6" ht="14.5">
      <c r="A73" s="5"/>
      <c r="B73" s="138"/>
    </row>
    <row r="74" spans="1:6">
      <c r="A74" s="5">
        <v>1.7</v>
      </c>
      <c r="B74" s="188" t="s">
        <v>109</v>
      </c>
    </row>
    <row r="75" spans="1:6">
      <c r="A75" s="5"/>
      <c r="B75" s="189" t="s">
        <v>110</v>
      </c>
    </row>
    <row r="76" spans="1:6">
      <c r="A76" s="5"/>
      <c r="B76" s="189" t="s">
        <v>111</v>
      </c>
    </row>
    <row r="77" spans="1:6">
      <c r="A77" s="5"/>
      <c r="B77" s="189" t="s">
        <v>112</v>
      </c>
    </row>
    <row r="78" spans="1:6">
      <c r="A78" s="5"/>
      <c r="B78" s="189" t="s">
        <v>113</v>
      </c>
    </row>
    <row r="79" spans="1:6" ht="14.5">
      <c r="A79" s="5"/>
      <c r="B79" s="138"/>
    </row>
    <row r="80" spans="1:6">
      <c r="A80" s="5">
        <v>1.8</v>
      </c>
      <c r="B80" s="188" t="s">
        <v>114</v>
      </c>
    </row>
    <row r="81" spans="1:2" ht="28">
      <c r="A81" s="5"/>
      <c r="B81" s="189" t="s">
        <v>115</v>
      </c>
    </row>
    <row r="82" spans="1:2">
      <c r="A82" s="5"/>
      <c r="B82" s="189" t="s">
        <v>116</v>
      </c>
    </row>
    <row r="83" spans="1:2">
      <c r="A83" s="5"/>
      <c r="B83" s="189" t="s">
        <v>117</v>
      </c>
    </row>
    <row r="84" spans="1:2" ht="14.5">
      <c r="A84" s="5"/>
      <c r="B84" s="138"/>
    </row>
    <row r="85" spans="1:2" ht="14.5">
      <c r="A85" s="5"/>
      <c r="B85" s="138"/>
    </row>
    <row r="86" spans="1:2">
      <c r="A86" s="5"/>
      <c r="B86" s="189" t="s">
        <v>586</v>
      </c>
    </row>
    <row r="87" spans="1:2" ht="28">
      <c r="A87" s="5"/>
      <c r="B87" s="189" t="s">
        <v>118</v>
      </c>
    </row>
    <row r="88" spans="1:2" ht="14.5">
      <c r="A88" s="5"/>
      <c r="B88" s="138"/>
    </row>
    <row r="89" spans="1:2">
      <c r="A89" s="5">
        <v>1.9</v>
      </c>
      <c r="B89" s="188" t="s">
        <v>119</v>
      </c>
    </row>
    <row r="90" spans="1:2" ht="28">
      <c r="A90" s="5"/>
      <c r="B90" s="189" t="s">
        <v>120</v>
      </c>
    </row>
    <row r="91" spans="1:2">
      <c r="A91" s="5"/>
      <c r="B91" s="189" t="s">
        <v>121</v>
      </c>
    </row>
    <row r="92" spans="1:2" ht="14.5">
      <c r="A92" s="5"/>
      <c r="B92" s="138"/>
    </row>
    <row r="93" spans="1:2">
      <c r="A93" s="5"/>
      <c r="B93" s="189" t="s">
        <v>122</v>
      </c>
    </row>
    <row r="94" spans="1:2">
      <c r="A94" s="5"/>
      <c r="B94" s="189" t="s">
        <v>123</v>
      </c>
    </row>
    <row r="95" spans="1:2">
      <c r="A95" s="5"/>
      <c r="B95" s="189" t="s">
        <v>124</v>
      </c>
    </row>
    <row r="96" spans="1:2" ht="14.5">
      <c r="A96" s="5"/>
      <c r="B96" s="138"/>
    </row>
    <row r="97" spans="1:2">
      <c r="A97" s="118">
        <v>1.1000000000000001</v>
      </c>
      <c r="B97" s="188" t="s">
        <v>125</v>
      </c>
    </row>
    <row r="98" spans="1:2">
      <c r="A98" s="5"/>
      <c r="B98" s="189" t="s">
        <v>126</v>
      </c>
    </row>
    <row r="99" spans="1:2" ht="28">
      <c r="A99" s="5"/>
      <c r="B99" s="189" t="s">
        <v>127</v>
      </c>
    </row>
    <row r="100" spans="1:2">
      <c r="A100" s="5"/>
      <c r="B100" s="189" t="s">
        <v>128</v>
      </c>
    </row>
    <row r="101" spans="1:2">
      <c r="A101" s="5"/>
      <c r="B101" s="189" t="s">
        <v>129</v>
      </c>
    </row>
    <row r="102" spans="1:2" ht="14.5">
      <c r="A102" s="5"/>
      <c r="B102" s="138"/>
    </row>
    <row r="103" spans="1:2">
      <c r="A103" s="5">
        <v>1.1100000000000001</v>
      </c>
      <c r="B103" s="188" t="s">
        <v>130</v>
      </c>
    </row>
    <row r="104" spans="1:2">
      <c r="A104" s="5"/>
      <c r="B104" s="189" t="s">
        <v>131</v>
      </c>
    </row>
    <row r="105" spans="1:2" ht="28">
      <c r="A105" s="5"/>
      <c r="B105" s="189" t="s">
        <v>132</v>
      </c>
    </row>
    <row r="106" spans="1:2">
      <c r="A106" s="5"/>
      <c r="B106" s="189" t="s">
        <v>133</v>
      </c>
    </row>
    <row r="107" spans="1:2" ht="14.5">
      <c r="A107" s="5"/>
      <c r="B107" s="138"/>
    </row>
    <row r="108" spans="1:2">
      <c r="A108" s="5"/>
      <c r="B108" s="189" t="s">
        <v>134</v>
      </c>
    </row>
    <row r="109" spans="1:2">
      <c r="A109" s="5"/>
      <c r="B109" s="189" t="s">
        <v>135</v>
      </c>
    </row>
    <row r="110" spans="1:2">
      <c r="A110" s="5"/>
      <c r="B110" s="189" t="s">
        <v>136</v>
      </c>
    </row>
    <row r="111" spans="1:2">
      <c r="A111" s="5"/>
      <c r="B111" s="189" t="s">
        <v>137</v>
      </c>
    </row>
    <row r="112" spans="1:2" ht="14.5">
      <c r="A112" s="5"/>
      <c r="B112" s="138"/>
    </row>
    <row r="113" spans="1:6">
      <c r="A113" s="5"/>
      <c r="B113" s="189" t="s">
        <v>138</v>
      </c>
    </row>
    <row r="114" spans="1:6">
      <c r="A114" s="5"/>
      <c r="B114" s="189" t="s">
        <v>139</v>
      </c>
    </row>
    <row r="115" spans="1:6" ht="14.5">
      <c r="A115" s="5"/>
      <c r="B115" s="138"/>
    </row>
    <row r="116" spans="1:6" ht="28">
      <c r="A116" s="5"/>
      <c r="B116" s="189" t="s">
        <v>140</v>
      </c>
    </row>
    <row r="117" spans="1:6" ht="28">
      <c r="A117" s="5"/>
      <c r="B117" s="189" t="s">
        <v>141</v>
      </c>
    </row>
    <row r="118" spans="1:6">
      <c r="A118" s="5"/>
      <c r="B118" s="189" t="s">
        <v>142</v>
      </c>
      <c r="F118" s="174"/>
    </row>
    <row r="119" spans="1:6" s="6" customFormat="1" ht="14.5">
      <c r="A119" s="5"/>
      <c r="B119" s="192" t="s">
        <v>483</v>
      </c>
      <c r="C119" s="193"/>
    </row>
  </sheetData>
  <pageMargins left="0.7" right="0.7" top="0.75" bottom="0.75" header="0.3" footer="0.3"/>
  <pageSetup paperSize="9" scale="83" orientation="portrait" horizontalDpi="1200" verticalDpi="1200" r:id="rId1"/>
  <rowBreaks count="2" manualBreakCount="2">
    <brk id="42" max="2" man="1"/>
    <brk id="88"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7"/>
  <sheetViews>
    <sheetView view="pageBreakPreview" zoomScale="126" zoomScaleNormal="100" zoomScaleSheetLayoutView="126" workbookViewId="0">
      <pane xSplit="1" ySplit="3" topLeftCell="B4" activePane="bottomRight" state="frozen"/>
      <selection pane="topRight" activeCell="B1" sqref="B1"/>
      <selection pane="bottomLeft" activeCell="A4" sqref="A4"/>
      <selection pane="bottomRight" activeCell="G1" sqref="G1:K1048576"/>
    </sheetView>
  </sheetViews>
  <sheetFormatPr defaultColWidth="9.08984375" defaultRowHeight="14.5"/>
  <cols>
    <col min="1" max="1" width="6.54296875" style="172" bestFit="1" customWidth="1"/>
    <col min="2" max="2" width="51.90625" style="135" customWidth="1"/>
    <col min="3" max="3" width="5.453125" style="133" bestFit="1" customWidth="1"/>
    <col min="4" max="4" width="7.36328125" style="134" bestFit="1" customWidth="1"/>
    <col min="5" max="5" width="7" style="136" bestFit="1" customWidth="1"/>
    <col min="6" max="6" width="11.6328125" style="173" bestFit="1" customWidth="1"/>
    <col min="7" max="7" width="12.6328125" style="129" bestFit="1" customWidth="1"/>
    <col min="8" max="17" width="9.08984375" style="103"/>
    <col min="18" max="18" width="6.08984375" style="103" customWidth="1"/>
    <col min="19" max="16384" width="9.08984375" style="103"/>
  </cols>
  <sheetData>
    <row r="1" spans="1:7">
      <c r="A1" s="668" t="s">
        <v>0</v>
      </c>
      <c r="B1" s="669" t="s">
        <v>1</v>
      </c>
      <c r="C1" s="592" t="s">
        <v>2</v>
      </c>
      <c r="D1" s="593" t="s">
        <v>426</v>
      </c>
      <c r="E1" s="594" t="s">
        <v>368</v>
      </c>
      <c r="F1" s="976" t="s">
        <v>472</v>
      </c>
      <c r="G1" s="186"/>
    </row>
    <row r="2" spans="1:7" s="11" customFormat="1">
      <c r="A2" s="670"/>
      <c r="B2" s="584" t="s">
        <v>859</v>
      </c>
      <c r="C2" s="671"/>
      <c r="D2" s="672"/>
      <c r="E2" s="607"/>
      <c r="F2" s="587"/>
      <c r="G2" s="131"/>
    </row>
    <row r="3" spans="1:7" s="101" customFormat="1" ht="15.5">
      <c r="A3" s="722">
        <v>8</v>
      </c>
      <c r="B3" s="674" t="s">
        <v>1235</v>
      </c>
      <c r="C3" s="648"/>
      <c r="D3" s="617"/>
      <c r="E3" s="618"/>
      <c r="F3" s="675"/>
      <c r="G3" s="159"/>
    </row>
    <row r="4" spans="1:7" s="11" customFormat="1">
      <c r="A4" s="676">
        <v>8.1</v>
      </c>
      <c r="B4" s="584" t="s">
        <v>596</v>
      </c>
      <c r="C4" s="597"/>
      <c r="D4" s="606"/>
      <c r="E4" s="586"/>
      <c r="F4" s="612"/>
      <c r="G4" s="131"/>
    </row>
    <row r="5" spans="1:7" s="11" customFormat="1" ht="29">
      <c r="A5" s="677" t="s">
        <v>1606</v>
      </c>
      <c r="B5" s="590" t="s">
        <v>597</v>
      </c>
      <c r="C5" s="617" t="s">
        <v>33</v>
      </c>
      <c r="D5" s="606">
        <v>125</v>
      </c>
      <c r="E5" s="586"/>
      <c r="F5" s="612">
        <f>D5*E5</f>
        <v>0</v>
      </c>
      <c r="G5" s="131"/>
    </row>
    <row r="6" spans="1:7" s="11" customFormat="1" ht="29">
      <c r="A6" s="677" t="s">
        <v>1607</v>
      </c>
      <c r="B6" s="590" t="s">
        <v>438</v>
      </c>
      <c r="C6" s="617" t="s">
        <v>33</v>
      </c>
      <c r="D6" s="606">
        <f>D5</f>
        <v>125</v>
      </c>
      <c r="E6" s="586"/>
      <c r="F6" s="612">
        <f t="shared" ref="F6:F18" si="0">D6*E6</f>
        <v>0</v>
      </c>
      <c r="G6" s="131"/>
    </row>
    <row r="7" spans="1:7" s="159" customFormat="1" ht="29">
      <c r="A7" s="615" t="s">
        <v>1608</v>
      </c>
      <c r="B7" s="616" t="s">
        <v>1051</v>
      </c>
      <c r="C7" s="617" t="s">
        <v>1050</v>
      </c>
      <c r="D7" s="617">
        <v>11</v>
      </c>
      <c r="E7" s="618"/>
      <c r="F7" s="619">
        <f t="shared" si="0"/>
        <v>0</v>
      </c>
    </row>
    <row r="8" spans="1:7" s="159" customFormat="1" ht="16.5">
      <c r="A8" s="615" t="s">
        <v>1609</v>
      </c>
      <c r="B8" s="616" t="s">
        <v>1257</v>
      </c>
      <c r="C8" s="617" t="s">
        <v>842</v>
      </c>
      <c r="D8" s="617">
        <v>10</v>
      </c>
      <c r="E8" s="618"/>
      <c r="F8" s="619">
        <f t="shared" si="0"/>
        <v>0</v>
      </c>
    </row>
    <row r="9" spans="1:7" s="137" customFormat="1">
      <c r="A9" s="678"/>
      <c r="B9" s="674" t="s">
        <v>30</v>
      </c>
      <c r="C9" s="648"/>
      <c r="D9" s="617"/>
      <c r="E9" s="618"/>
      <c r="F9" s="679"/>
      <c r="G9" s="163"/>
    </row>
    <row r="10" spans="1:7" s="11" customFormat="1" ht="29">
      <c r="A10" s="680" t="s">
        <v>1610</v>
      </c>
      <c r="B10" s="590" t="s">
        <v>448</v>
      </c>
      <c r="C10" s="617" t="s">
        <v>33</v>
      </c>
      <c r="D10" s="606">
        <f>D6</f>
        <v>125</v>
      </c>
      <c r="E10" s="586"/>
      <c r="F10" s="612">
        <f t="shared" si="0"/>
        <v>0</v>
      </c>
      <c r="G10" s="131"/>
    </row>
    <row r="11" spans="1:7" s="11" customFormat="1" ht="29">
      <c r="A11" s="677" t="s">
        <v>1611</v>
      </c>
      <c r="B11" s="590" t="s">
        <v>367</v>
      </c>
      <c r="C11" s="617" t="s">
        <v>33</v>
      </c>
      <c r="D11" s="606">
        <f>D10</f>
        <v>125</v>
      </c>
      <c r="E11" s="586"/>
      <c r="F11" s="612">
        <f t="shared" si="0"/>
        <v>0</v>
      </c>
      <c r="G11" s="131"/>
    </row>
    <row r="12" spans="1:7" s="11" customFormat="1">
      <c r="A12" s="677"/>
      <c r="B12" s="584" t="s">
        <v>35</v>
      </c>
      <c r="C12" s="597"/>
      <c r="D12" s="606"/>
      <c r="E12" s="586"/>
      <c r="F12" s="612">
        <f t="shared" si="0"/>
        <v>0</v>
      </c>
      <c r="G12" s="131"/>
    </row>
    <row r="13" spans="1:7" s="11" customFormat="1" ht="43.5">
      <c r="A13" s="677" t="s">
        <v>1612</v>
      </c>
      <c r="B13" s="590" t="s">
        <v>593</v>
      </c>
      <c r="C13" s="617" t="s">
        <v>33</v>
      </c>
      <c r="D13" s="606">
        <f>D11</f>
        <v>125</v>
      </c>
      <c r="E13" s="586"/>
      <c r="F13" s="612">
        <f t="shared" si="0"/>
        <v>0</v>
      </c>
      <c r="G13" s="131"/>
    </row>
    <row r="14" spans="1:7" s="11" customFormat="1">
      <c r="A14" s="677"/>
      <c r="B14" s="584" t="s">
        <v>38</v>
      </c>
      <c r="C14" s="597"/>
      <c r="D14" s="606"/>
      <c r="E14" s="586"/>
      <c r="F14" s="612">
        <f t="shared" si="0"/>
        <v>0</v>
      </c>
      <c r="G14" s="131"/>
    </row>
    <row r="15" spans="1:7" s="11" customFormat="1" ht="43.5">
      <c r="A15" s="677" t="s">
        <v>1613</v>
      </c>
      <c r="B15" s="590" t="s">
        <v>594</v>
      </c>
      <c r="C15" s="617" t="s">
        <v>33</v>
      </c>
      <c r="D15" s="606">
        <f>D13</f>
        <v>125</v>
      </c>
      <c r="E15" s="586"/>
      <c r="F15" s="612">
        <f t="shared" si="0"/>
        <v>0</v>
      </c>
      <c r="G15" s="131"/>
    </row>
    <row r="16" spans="1:7" s="11" customFormat="1">
      <c r="A16" s="677"/>
      <c r="B16" s="584" t="s">
        <v>443</v>
      </c>
      <c r="C16" s="597"/>
      <c r="D16" s="606"/>
      <c r="E16" s="586"/>
      <c r="F16" s="612">
        <f t="shared" si="0"/>
        <v>0</v>
      </c>
      <c r="G16" s="131"/>
    </row>
    <row r="17" spans="1:7" s="11" customFormat="1">
      <c r="A17" s="677" t="s">
        <v>1614</v>
      </c>
      <c r="B17" s="590" t="s">
        <v>444</v>
      </c>
      <c r="C17" s="617" t="s">
        <v>50</v>
      </c>
      <c r="D17" s="606">
        <v>25</v>
      </c>
      <c r="E17" s="586"/>
      <c r="F17" s="612">
        <f t="shared" si="0"/>
        <v>0</v>
      </c>
      <c r="G17" s="131"/>
    </row>
    <row r="18" spans="1:7" s="11" customFormat="1">
      <c r="A18" s="677"/>
      <c r="B18" s="584" t="s">
        <v>446</v>
      </c>
      <c r="C18" s="606"/>
      <c r="D18" s="606"/>
      <c r="E18" s="586"/>
      <c r="F18" s="612">
        <f t="shared" si="0"/>
        <v>0</v>
      </c>
      <c r="G18" s="131"/>
    </row>
    <row r="19" spans="1:7" s="576" customFormat="1" ht="43.5">
      <c r="A19" s="681"/>
      <c r="B19" s="649" t="s">
        <v>1053</v>
      </c>
      <c r="C19" s="648"/>
      <c r="D19" s="618"/>
      <c r="E19" s="648"/>
      <c r="F19" s="682"/>
    </row>
    <row r="20" spans="1:7" s="576" customFormat="1">
      <c r="A20" s="681"/>
      <c r="B20" s="674" t="s">
        <v>1058</v>
      </c>
      <c r="C20" s="648"/>
      <c r="D20" s="618"/>
      <c r="E20" s="648"/>
      <c r="F20" s="682"/>
    </row>
    <row r="21" spans="1:7" s="576" customFormat="1">
      <c r="A21" s="681" t="s">
        <v>1533</v>
      </c>
      <c r="B21" s="616" t="s">
        <v>1054</v>
      </c>
      <c r="C21" s="648" t="s">
        <v>19</v>
      </c>
      <c r="D21" s="618">
        <v>70</v>
      </c>
      <c r="E21" s="648"/>
      <c r="F21" s="682">
        <f>E21*D21</f>
        <v>0</v>
      </c>
    </row>
    <row r="22" spans="1:7" s="576" customFormat="1">
      <c r="A22" s="681" t="s">
        <v>1534</v>
      </c>
      <c r="B22" s="616" t="s">
        <v>1055</v>
      </c>
      <c r="C22" s="648" t="s">
        <v>19</v>
      </c>
      <c r="D22" s="618">
        <v>145</v>
      </c>
      <c r="E22" s="648"/>
      <c r="F22" s="682">
        <f>E22*D22</f>
        <v>0</v>
      </c>
      <c r="G22" s="798"/>
    </row>
    <row r="23" spans="1:7" s="576" customFormat="1">
      <c r="A23" s="681"/>
      <c r="B23" s="674" t="s">
        <v>1062</v>
      </c>
      <c r="C23" s="648"/>
      <c r="D23" s="618"/>
      <c r="E23" s="648"/>
      <c r="F23" s="682"/>
      <c r="G23" s="578"/>
    </row>
    <row r="24" spans="1:7" s="576" customFormat="1">
      <c r="A24" s="681" t="s">
        <v>1535</v>
      </c>
      <c r="B24" s="616" t="s">
        <v>1054</v>
      </c>
      <c r="C24" s="648" t="s">
        <v>879</v>
      </c>
      <c r="D24" s="618">
        <v>200</v>
      </c>
      <c r="E24" s="648"/>
      <c r="F24" s="682">
        <f t="shared" ref="F24:F25" si="1">E24*D24</f>
        <v>0</v>
      </c>
    </row>
    <row r="25" spans="1:7" s="576" customFormat="1">
      <c r="A25" s="681" t="s">
        <v>1536</v>
      </c>
      <c r="B25" s="616" t="s">
        <v>1055</v>
      </c>
      <c r="C25" s="648" t="s">
        <v>879</v>
      </c>
      <c r="D25" s="618">
        <v>200</v>
      </c>
      <c r="E25" s="648"/>
      <c r="F25" s="682">
        <f t="shared" si="1"/>
        <v>0</v>
      </c>
      <c r="G25" s="798"/>
    </row>
    <row r="26" spans="1:7" s="644" customFormat="1">
      <c r="A26" s="681"/>
      <c r="B26" s="635" t="s">
        <v>1256</v>
      </c>
      <c r="C26" s="648"/>
      <c r="D26" s="617"/>
      <c r="E26" s="648"/>
      <c r="F26" s="682"/>
      <c r="G26" s="646"/>
    </row>
    <row r="27" spans="1:7" s="644" customFormat="1">
      <c r="A27" s="681" t="s">
        <v>1537</v>
      </c>
      <c r="B27" s="616" t="s">
        <v>1054</v>
      </c>
      <c r="C27" s="648" t="s">
        <v>19</v>
      </c>
      <c r="D27" s="617">
        <v>50</v>
      </c>
      <c r="E27" s="648"/>
      <c r="F27" s="682">
        <f t="shared" ref="F27:F28" si="2">E27*D27</f>
        <v>0</v>
      </c>
      <c r="G27" s="646"/>
    </row>
    <row r="28" spans="1:7" s="644" customFormat="1">
      <c r="A28" s="681" t="s">
        <v>1551</v>
      </c>
      <c r="B28" s="616" t="s">
        <v>1055</v>
      </c>
      <c r="C28" s="648" t="s">
        <v>19</v>
      </c>
      <c r="D28" s="617">
        <v>250</v>
      </c>
      <c r="E28" s="648"/>
      <c r="F28" s="682">
        <f t="shared" si="2"/>
        <v>0</v>
      </c>
    </row>
    <row r="29" spans="1:7" s="644" customFormat="1">
      <c r="A29" s="681"/>
      <c r="B29" s="635" t="s">
        <v>1259</v>
      </c>
      <c r="C29" s="648"/>
      <c r="D29" s="617"/>
      <c r="E29" s="648"/>
      <c r="F29" s="682"/>
    </row>
    <row r="30" spans="1:7" s="577" customFormat="1" ht="29">
      <c r="A30" s="681" t="s">
        <v>1552</v>
      </c>
      <c r="B30" s="616" t="s">
        <v>447</v>
      </c>
      <c r="C30" s="617" t="s">
        <v>588</v>
      </c>
      <c r="D30" s="617">
        <f>D15</f>
        <v>125</v>
      </c>
      <c r="E30" s="618"/>
      <c r="F30" s="619">
        <f>D30*E30</f>
        <v>0</v>
      </c>
    </row>
    <row r="31" spans="1:7" s="577" customFormat="1">
      <c r="A31" s="615"/>
      <c r="B31" s="635" t="s">
        <v>440</v>
      </c>
      <c r="C31" s="648"/>
      <c r="D31" s="617"/>
      <c r="E31" s="618"/>
      <c r="F31" s="619"/>
    </row>
    <row r="32" spans="1:7" s="577" customFormat="1" ht="16.5">
      <c r="A32" s="615" t="s">
        <v>1623</v>
      </c>
      <c r="B32" s="616" t="s">
        <v>442</v>
      </c>
      <c r="C32" s="617" t="s">
        <v>1050</v>
      </c>
      <c r="D32" s="617">
        <f>D30*0.15</f>
        <v>18.75</v>
      </c>
      <c r="E32" s="618"/>
      <c r="F32" s="619">
        <f>D32*E32</f>
        <v>0</v>
      </c>
    </row>
    <row r="33" spans="1:198" s="577" customFormat="1">
      <c r="A33" s="615" t="s">
        <v>1624</v>
      </c>
      <c r="B33" s="616" t="s">
        <v>1058</v>
      </c>
      <c r="C33" s="617" t="s">
        <v>1059</v>
      </c>
      <c r="D33" s="617">
        <f>(14.5*2+8.5*3)*0.3</f>
        <v>16.349999999999998</v>
      </c>
      <c r="E33" s="618"/>
      <c r="F33" s="619">
        <f t="shared" ref="F33:F34" si="3">D33*E33</f>
        <v>0</v>
      </c>
    </row>
    <row r="34" spans="1:198" s="577" customFormat="1" ht="16.75" customHeight="1">
      <c r="A34" s="615" t="s">
        <v>1625</v>
      </c>
      <c r="B34" s="616" t="s">
        <v>1061</v>
      </c>
      <c r="C34" s="617" t="s">
        <v>1059</v>
      </c>
      <c r="D34" s="617">
        <f>D33</f>
        <v>16.349999999999998</v>
      </c>
      <c r="E34" s="618"/>
      <c r="F34" s="619">
        <f t="shared" si="3"/>
        <v>0</v>
      </c>
    </row>
    <row r="35" spans="1:198" s="975" customFormat="1">
      <c r="A35" s="969"/>
      <c r="B35" s="970" t="s">
        <v>1236</v>
      </c>
      <c r="C35" s="971"/>
      <c r="D35" s="971"/>
      <c r="E35" s="972"/>
      <c r="F35" s="977">
        <f>SUM(F5:F34)</f>
        <v>0</v>
      </c>
      <c r="G35" s="973"/>
      <c r="H35" s="974"/>
      <c r="I35" s="974"/>
      <c r="J35" s="974"/>
      <c r="K35" s="974"/>
      <c r="L35" s="974"/>
      <c r="M35" s="974"/>
      <c r="N35" s="974"/>
      <c r="O35" s="974"/>
      <c r="P35" s="974"/>
      <c r="Q35" s="974"/>
      <c r="R35" s="974"/>
      <c r="S35" s="974"/>
      <c r="T35" s="974"/>
      <c r="U35" s="974"/>
      <c r="V35" s="974"/>
      <c r="W35" s="974"/>
      <c r="X35" s="974"/>
      <c r="Y35" s="974"/>
      <c r="Z35" s="974"/>
      <c r="AA35" s="974"/>
      <c r="AB35" s="974"/>
      <c r="AC35" s="974"/>
      <c r="AD35" s="974"/>
      <c r="AE35" s="974"/>
      <c r="AF35" s="974"/>
      <c r="AG35" s="974"/>
      <c r="AH35" s="974"/>
      <c r="AI35" s="974"/>
      <c r="AJ35" s="974"/>
      <c r="AK35" s="974"/>
      <c r="AL35" s="974"/>
      <c r="AM35" s="974"/>
      <c r="AN35" s="974"/>
      <c r="AO35" s="974"/>
      <c r="AP35" s="974"/>
      <c r="AQ35" s="974"/>
      <c r="AR35" s="974"/>
      <c r="AS35" s="974"/>
      <c r="AT35" s="974"/>
      <c r="AU35" s="974"/>
      <c r="AV35" s="974"/>
      <c r="AW35" s="974"/>
      <c r="AX35" s="974"/>
      <c r="AY35" s="974"/>
      <c r="AZ35" s="974"/>
      <c r="BA35" s="974"/>
      <c r="BB35" s="974"/>
      <c r="BC35" s="974"/>
      <c r="BD35" s="974"/>
      <c r="BE35" s="974"/>
      <c r="BF35" s="974"/>
      <c r="BG35" s="974"/>
      <c r="BH35" s="974"/>
      <c r="BI35" s="974"/>
      <c r="BJ35" s="974"/>
      <c r="BK35" s="974"/>
      <c r="BL35" s="974"/>
      <c r="BM35" s="974"/>
      <c r="BN35" s="974"/>
      <c r="BO35" s="974"/>
      <c r="BP35" s="974"/>
      <c r="BQ35" s="974"/>
      <c r="BR35" s="974"/>
      <c r="BS35" s="974"/>
      <c r="BT35" s="974"/>
      <c r="BU35" s="974"/>
      <c r="BV35" s="974"/>
      <c r="BW35" s="974"/>
      <c r="BX35" s="974"/>
      <c r="BY35" s="974"/>
      <c r="BZ35" s="974"/>
      <c r="CA35" s="974"/>
      <c r="CB35" s="974"/>
      <c r="CC35" s="974"/>
      <c r="CD35" s="974"/>
      <c r="CE35" s="974"/>
      <c r="CF35" s="974"/>
      <c r="CG35" s="974"/>
      <c r="CH35" s="974"/>
      <c r="CI35" s="974"/>
      <c r="CJ35" s="974"/>
      <c r="CK35" s="974"/>
      <c r="CL35" s="974"/>
      <c r="CM35" s="974"/>
      <c r="CN35" s="974"/>
      <c r="CO35" s="974"/>
      <c r="CP35" s="974"/>
      <c r="CQ35" s="974"/>
      <c r="CR35" s="974"/>
      <c r="CS35" s="974"/>
      <c r="CT35" s="974"/>
      <c r="CU35" s="974"/>
      <c r="CV35" s="974"/>
      <c r="CW35" s="974"/>
      <c r="CX35" s="974"/>
      <c r="CY35" s="974"/>
      <c r="CZ35" s="974"/>
      <c r="DA35" s="974"/>
      <c r="DB35" s="974"/>
      <c r="DC35" s="974"/>
      <c r="DD35" s="974"/>
      <c r="DE35" s="974"/>
      <c r="DF35" s="974"/>
      <c r="DG35" s="974"/>
      <c r="DH35" s="974"/>
      <c r="DI35" s="974"/>
      <c r="DJ35" s="974"/>
      <c r="DK35" s="974"/>
      <c r="DL35" s="974"/>
      <c r="DM35" s="974"/>
      <c r="DN35" s="974"/>
      <c r="DO35" s="974"/>
      <c r="DP35" s="974"/>
      <c r="DQ35" s="974"/>
      <c r="DR35" s="974"/>
      <c r="DS35" s="974"/>
      <c r="DT35" s="974"/>
      <c r="DU35" s="974"/>
      <c r="DV35" s="974"/>
      <c r="DW35" s="974"/>
      <c r="DX35" s="974"/>
      <c r="DY35" s="974"/>
      <c r="DZ35" s="974"/>
      <c r="EA35" s="974"/>
      <c r="EB35" s="974"/>
      <c r="EC35" s="974"/>
      <c r="ED35" s="974"/>
      <c r="EE35" s="974"/>
      <c r="EF35" s="974"/>
      <c r="EG35" s="974"/>
      <c r="EH35" s="974"/>
      <c r="EI35" s="974"/>
      <c r="EJ35" s="974"/>
      <c r="EK35" s="974"/>
      <c r="EL35" s="974"/>
      <c r="EM35" s="974"/>
      <c r="EN35" s="974"/>
      <c r="EO35" s="974"/>
      <c r="EP35" s="974"/>
      <c r="EQ35" s="974"/>
      <c r="ER35" s="974"/>
      <c r="ES35" s="974"/>
      <c r="ET35" s="974"/>
      <c r="EU35" s="974"/>
      <c r="EV35" s="974"/>
      <c r="EW35" s="974"/>
      <c r="EX35" s="974"/>
      <c r="EY35" s="974"/>
      <c r="EZ35" s="974"/>
      <c r="FA35" s="974"/>
      <c r="FB35" s="974"/>
      <c r="FC35" s="974"/>
      <c r="FD35" s="974"/>
      <c r="FE35" s="974"/>
      <c r="FF35" s="974"/>
      <c r="FG35" s="974"/>
      <c r="FH35" s="974"/>
      <c r="FI35" s="974"/>
      <c r="FJ35" s="974"/>
      <c r="FK35" s="974"/>
      <c r="FL35" s="974"/>
      <c r="FM35" s="974"/>
      <c r="FN35" s="974"/>
      <c r="FO35" s="974"/>
      <c r="FP35" s="974"/>
      <c r="FQ35" s="974"/>
      <c r="FR35" s="974"/>
      <c r="FS35" s="974"/>
      <c r="FT35" s="974"/>
      <c r="FU35" s="974"/>
      <c r="FV35" s="974"/>
      <c r="FW35" s="974"/>
      <c r="FX35" s="974"/>
      <c r="FY35" s="974"/>
      <c r="FZ35" s="974"/>
      <c r="GA35" s="974"/>
      <c r="GB35" s="974"/>
      <c r="GC35" s="974"/>
      <c r="GD35" s="974"/>
      <c r="GE35" s="974"/>
      <c r="GF35" s="974"/>
      <c r="GG35" s="974"/>
      <c r="GH35" s="974"/>
      <c r="GI35" s="974"/>
      <c r="GJ35" s="974"/>
      <c r="GK35" s="974"/>
      <c r="GL35" s="974"/>
      <c r="GM35" s="974"/>
      <c r="GN35" s="974"/>
      <c r="GO35" s="974"/>
      <c r="GP35" s="974"/>
    </row>
    <row r="36" spans="1:198">
      <c r="A36" s="668" t="s">
        <v>0</v>
      </c>
      <c r="B36" s="669" t="s">
        <v>1</v>
      </c>
      <c r="C36" s="592" t="s">
        <v>2</v>
      </c>
      <c r="D36" s="593" t="s">
        <v>426</v>
      </c>
      <c r="E36" s="594" t="s">
        <v>368</v>
      </c>
      <c r="F36" s="976" t="s">
        <v>472</v>
      </c>
      <c r="G36" s="186"/>
    </row>
    <row r="37" spans="1:198" s="579" customFormat="1">
      <c r="A37" s="634">
        <v>8.1999999999999993</v>
      </c>
      <c r="B37" s="674" t="s">
        <v>1063</v>
      </c>
      <c r="C37" s="648"/>
      <c r="D37" s="617"/>
      <c r="E37" s="618"/>
      <c r="F37" s="683"/>
    </row>
    <row r="38" spans="1:198" s="579" customFormat="1">
      <c r="A38" s="615"/>
      <c r="B38" s="616"/>
      <c r="C38" s="648"/>
      <c r="D38" s="617"/>
      <c r="E38" s="618"/>
      <c r="F38" s="683"/>
    </row>
    <row r="39" spans="1:198" s="576" customFormat="1">
      <c r="A39" s="681"/>
      <c r="B39" s="649" t="s">
        <v>1064</v>
      </c>
      <c r="C39" s="648"/>
      <c r="D39" s="618"/>
      <c r="E39" s="648"/>
      <c r="F39" s="682"/>
    </row>
    <row r="40" spans="1:198" s="580" customFormat="1">
      <c r="A40" s="684" t="s">
        <v>1626</v>
      </c>
      <c r="B40" s="825" t="s">
        <v>1531</v>
      </c>
      <c r="C40" s="686" t="s">
        <v>425</v>
      </c>
      <c r="D40" s="617">
        <f>(14.5*2+8.54*2)*0.4+2.4*3+D30*0.15</f>
        <v>44.381999999999998</v>
      </c>
      <c r="E40" s="686"/>
      <c r="F40" s="687">
        <f>E40*D40</f>
        <v>0</v>
      </c>
    </row>
    <row r="41" spans="1:198" s="576" customFormat="1" ht="17.399999999999999" customHeight="1">
      <c r="A41" s="681"/>
      <c r="B41" s="649" t="s">
        <v>771</v>
      </c>
      <c r="C41" s="648"/>
      <c r="D41" s="618"/>
      <c r="E41" s="648"/>
      <c r="F41" s="682"/>
    </row>
    <row r="42" spans="1:198" s="576" customFormat="1">
      <c r="A42" s="681"/>
      <c r="B42" s="649" t="s">
        <v>772</v>
      </c>
      <c r="C42" s="648"/>
      <c r="D42" s="618"/>
      <c r="E42" s="648"/>
      <c r="F42" s="682"/>
    </row>
    <row r="43" spans="1:198" s="576" customFormat="1">
      <c r="A43" s="681" t="s">
        <v>1627</v>
      </c>
      <c r="B43" s="616" t="s">
        <v>1066</v>
      </c>
      <c r="C43" s="648" t="s">
        <v>19</v>
      </c>
      <c r="D43" s="617">
        <v>600</v>
      </c>
      <c r="E43" s="648"/>
      <c r="F43" s="682">
        <f>E43*D43</f>
        <v>0</v>
      </c>
    </row>
    <row r="44" spans="1:198" s="576" customFormat="1">
      <c r="A44" s="681" t="s">
        <v>1628</v>
      </c>
      <c r="B44" s="616" t="s">
        <v>1067</v>
      </c>
      <c r="C44" s="648" t="s">
        <v>19</v>
      </c>
      <c r="D44" s="618">
        <v>1225</v>
      </c>
      <c r="E44" s="648"/>
      <c r="F44" s="682">
        <f>E44*D44</f>
        <v>0</v>
      </c>
      <c r="G44" s="798"/>
    </row>
    <row r="45" spans="1:198" s="576" customFormat="1">
      <c r="A45" s="681"/>
      <c r="B45" s="616"/>
      <c r="C45" s="648"/>
      <c r="D45" s="618"/>
      <c r="E45" s="648"/>
      <c r="F45" s="682"/>
      <c r="G45" s="578"/>
    </row>
    <row r="46" spans="1:198" s="576" customFormat="1">
      <c r="A46" s="681"/>
      <c r="B46" s="674" t="s">
        <v>1068</v>
      </c>
      <c r="C46" s="648"/>
      <c r="D46" s="618"/>
      <c r="E46" s="648"/>
      <c r="F46" s="682"/>
    </row>
    <row r="47" spans="1:198" s="576" customFormat="1">
      <c r="A47" s="681" t="s">
        <v>1629</v>
      </c>
      <c r="B47" s="616" t="s">
        <v>1532</v>
      </c>
      <c r="C47" s="648" t="s">
        <v>33</v>
      </c>
      <c r="D47" s="617">
        <f>D30+200</f>
        <v>325</v>
      </c>
      <c r="E47" s="648"/>
      <c r="F47" s="682">
        <f>D47*E47</f>
        <v>0</v>
      </c>
    </row>
    <row r="48" spans="1:198" s="581" customFormat="1">
      <c r="A48" s="635"/>
      <c r="B48" s="635" t="s">
        <v>1070</v>
      </c>
      <c r="C48" s="639"/>
      <c r="D48" s="688"/>
      <c r="E48" s="639"/>
      <c r="F48" s="689">
        <f>SUM(F40:F47)</f>
        <v>0</v>
      </c>
    </row>
    <row r="49" spans="1:198" s="581" customFormat="1">
      <c r="A49" s="635"/>
      <c r="B49" s="635"/>
      <c r="C49" s="639"/>
      <c r="D49" s="688"/>
      <c r="E49" s="639"/>
      <c r="F49" s="689"/>
    </row>
    <row r="50" spans="1:198" s="576" customFormat="1">
      <c r="A50" s="690">
        <v>8.3000000000000007</v>
      </c>
      <c r="B50" s="674" t="s">
        <v>1071</v>
      </c>
      <c r="C50" s="648"/>
      <c r="D50" s="618"/>
      <c r="E50" s="648"/>
      <c r="F50" s="682"/>
    </row>
    <row r="51" spans="1:198" s="576" customFormat="1">
      <c r="A51" s="681"/>
      <c r="B51" s="649" t="s">
        <v>1072</v>
      </c>
      <c r="C51" s="648"/>
      <c r="D51" s="618"/>
      <c r="E51" s="648"/>
      <c r="F51" s="682"/>
    </row>
    <row r="52" spans="1:198" s="576" customFormat="1" ht="17.399999999999999" customHeight="1">
      <c r="A52" s="681"/>
      <c r="B52" s="691" t="s">
        <v>1073</v>
      </c>
      <c r="C52" s="648"/>
      <c r="D52" s="618"/>
      <c r="E52" s="648"/>
      <c r="F52" s="682"/>
    </row>
    <row r="53" spans="1:198" s="576" customFormat="1">
      <c r="A53" s="681"/>
      <c r="B53" s="649" t="s">
        <v>52</v>
      </c>
      <c r="C53" s="648"/>
      <c r="D53" s="618"/>
      <c r="E53" s="648"/>
      <c r="F53" s="682"/>
    </row>
    <row r="54" spans="1:198" s="576" customFormat="1">
      <c r="A54" s="681"/>
      <c r="B54" s="649" t="s">
        <v>53</v>
      </c>
      <c r="C54" s="648"/>
      <c r="D54" s="618"/>
      <c r="E54" s="648"/>
      <c r="F54" s="682"/>
    </row>
    <row r="55" spans="1:198" s="576" customFormat="1">
      <c r="A55" s="681"/>
      <c r="B55" s="649" t="s">
        <v>54</v>
      </c>
      <c r="C55" s="648"/>
      <c r="D55" s="618"/>
      <c r="E55" s="648"/>
      <c r="F55" s="682"/>
    </row>
    <row r="56" spans="1:198" s="576" customFormat="1">
      <c r="A56" s="681" t="s">
        <v>1541</v>
      </c>
      <c r="B56" s="616" t="s">
        <v>1074</v>
      </c>
      <c r="C56" s="648" t="s">
        <v>33</v>
      </c>
      <c r="D56" s="692">
        <v>150</v>
      </c>
      <c r="E56" s="648"/>
      <c r="F56" s="682">
        <f>E56*D56</f>
        <v>0</v>
      </c>
    </row>
    <row r="57" spans="1:198" s="576" customFormat="1">
      <c r="A57" s="681" t="s">
        <v>1542</v>
      </c>
      <c r="B57" s="616" t="s">
        <v>1075</v>
      </c>
      <c r="C57" s="648" t="s">
        <v>33</v>
      </c>
      <c r="D57" s="692">
        <v>30</v>
      </c>
      <c r="E57" s="648"/>
      <c r="F57" s="682">
        <f>E57*D57</f>
        <v>0</v>
      </c>
    </row>
    <row r="58" spans="1:198" s="576" customFormat="1">
      <c r="A58" s="681" t="s">
        <v>1543</v>
      </c>
      <c r="B58" s="649" t="s">
        <v>1039</v>
      </c>
      <c r="C58" s="648"/>
      <c r="D58" s="618"/>
      <c r="E58" s="648"/>
      <c r="F58" s="682"/>
    </row>
    <row r="59" spans="1:198" s="576" customFormat="1">
      <c r="A59" s="681" t="s">
        <v>1544</v>
      </c>
      <c r="B59" s="616" t="s">
        <v>1040</v>
      </c>
      <c r="C59" s="648" t="s">
        <v>50</v>
      </c>
      <c r="D59" s="692">
        <v>60</v>
      </c>
      <c r="E59" s="648"/>
      <c r="F59" s="682">
        <f>E59*D59</f>
        <v>0</v>
      </c>
    </row>
    <row r="60" spans="1:198" s="576" customFormat="1" ht="29">
      <c r="A60" s="681"/>
      <c r="B60" s="635" t="s">
        <v>1076</v>
      </c>
      <c r="C60" s="639"/>
      <c r="D60" s="618"/>
      <c r="E60" s="648"/>
      <c r="F60" s="689">
        <f>SUM(F51:F59)</f>
        <v>0</v>
      </c>
    </row>
    <row r="61" spans="1:198" s="576" customFormat="1">
      <c r="A61" s="681"/>
      <c r="B61" s="635"/>
      <c r="C61" s="639"/>
      <c r="D61" s="618"/>
      <c r="E61" s="648"/>
      <c r="F61" s="689"/>
    </row>
    <row r="62" spans="1:198" s="152" customFormat="1" ht="15.5">
      <c r="A62" s="693">
        <v>8.4</v>
      </c>
      <c r="B62" s="698" t="s">
        <v>1162</v>
      </c>
      <c r="C62" s="699"/>
      <c r="D62" s="699"/>
      <c r="E62" s="700"/>
      <c r="F62" s="978"/>
      <c r="G62" s="164"/>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151"/>
      <c r="BY62" s="151"/>
      <c r="BZ62" s="151"/>
      <c r="CA62" s="151"/>
      <c r="CB62" s="151"/>
      <c r="CC62" s="151"/>
      <c r="CD62" s="151"/>
      <c r="CE62" s="151"/>
      <c r="CF62" s="151"/>
      <c r="CG62" s="151"/>
      <c r="CH62" s="151"/>
      <c r="CI62" s="151"/>
      <c r="CJ62" s="151"/>
      <c r="CK62" s="151"/>
      <c r="CL62" s="151"/>
      <c r="CM62" s="151"/>
      <c r="CN62" s="151"/>
      <c r="CO62" s="151"/>
      <c r="CP62" s="151"/>
      <c r="CQ62" s="151"/>
      <c r="CR62" s="151"/>
      <c r="CS62" s="151"/>
      <c r="CT62" s="151"/>
      <c r="CU62" s="151"/>
      <c r="CV62" s="151"/>
      <c r="CW62" s="151"/>
      <c r="CX62" s="151"/>
      <c r="CY62" s="151"/>
      <c r="CZ62" s="151"/>
      <c r="DA62" s="151"/>
      <c r="DB62" s="151"/>
      <c r="DC62" s="151"/>
      <c r="DD62" s="151"/>
      <c r="DE62" s="151"/>
      <c r="DF62" s="151"/>
      <c r="DG62" s="151"/>
      <c r="DH62" s="151"/>
      <c r="DI62" s="151"/>
      <c r="DJ62" s="151"/>
      <c r="DK62" s="151"/>
      <c r="DL62" s="151"/>
      <c r="DM62" s="151"/>
      <c r="DN62" s="151"/>
      <c r="DO62" s="151"/>
      <c r="DP62" s="151"/>
      <c r="DQ62" s="151"/>
      <c r="DR62" s="151"/>
      <c r="DS62" s="151"/>
      <c r="DT62" s="151"/>
      <c r="DU62" s="151"/>
      <c r="DV62" s="151"/>
      <c r="DW62" s="151"/>
      <c r="DX62" s="151"/>
      <c r="DY62" s="151"/>
      <c r="DZ62" s="151"/>
      <c r="EA62" s="151"/>
      <c r="EB62" s="151"/>
      <c r="EC62" s="151"/>
      <c r="ED62" s="151"/>
      <c r="EE62" s="151"/>
      <c r="EF62" s="151"/>
      <c r="EG62" s="151"/>
      <c r="EH62" s="151"/>
      <c r="EI62" s="151"/>
      <c r="EJ62" s="151"/>
      <c r="EK62" s="151"/>
      <c r="EL62" s="151"/>
      <c r="EM62" s="151"/>
      <c r="EN62" s="151"/>
      <c r="EO62" s="151"/>
      <c r="EP62" s="151"/>
      <c r="EQ62" s="151"/>
      <c r="ER62" s="151"/>
      <c r="ES62" s="151"/>
      <c r="ET62" s="151"/>
      <c r="EU62" s="151"/>
      <c r="EV62" s="151"/>
      <c r="EW62" s="151"/>
      <c r="EX62" s="151"/>
      <c r="EY62" s="151"/>
      <c r="EZ62" s="151"/>
      <c r="FA62" s="151"/>
      <c r="FB62" s="151"/>
      <c r="FC62" s="151"/>
      <c r="FD62" s="151"/>
      <c r="FE62" s="151"/>
      <c r="FF62" s="151"/>
      <c r="FG62" s="151"/>
      <c r="FH62" s="151"/>
      <c r="FI62" s="151"/>
      <c r="FJ62" s="151"/>
      <c r="FK62" s="151"/>
      <c r="FL62" s="151"/>
      <c r="FM62" s="151"/>
      <c r="FN62" s="151"/>
      <c r="FO62" s="151"/>
      <c r="FP62" s="151"/>
      <c r="FQ62" s="151"/>
      <c r="FR62" s="151"/>
      <c r="FS62" s="151"/>
      <c r="FT62" s="151"/>
      <c r="FU62" s="151"/>
      <c r="FV62" s="151"/>
      <c r="FW62" s="151"/>
      <c r="FX62" s="151"/>
      <c r="FY62" s="151"/>
      <c r="FZ62" s="151"/>
      <c r="GA62" s="151"/>
      <c r="GB62" s="151"/>
      <c r="GC62" s="151"/>
      <c r="GD62" s="151"/>
      <c r="GE62" s="151"/>
      <c r="GF62" s="151"/>
      <c r="GG62" s="151"/>
      <c r="GH62" s="151"/>
      <c r="GI62" s="151"/>
      <c r="GJ62" s="151"/>
      <c r="GK62" s="151"/>
      <c r="GL62" s="151"/>
      <c r="GM62" s="151"/>
      <c r="GN62" s="151"/>
      <c r="GO62" s="151"/>
      <c r="GP62" s="151"/>
    </row>
    <row r="63" spans="1:198" s="152" customFormat="1" ht="31">
      <c r="A63" s="702" t="s">
        <v>34</v>
      </c>
      <c r="B63" s="703" t="s">
        <v>496</v>
      </c>
      <c r="C63" s="704" t="s">
        <v>34</v>
      </c>
      <c r="D63" s="704"/>
      <c r="E63" s="704"/>
      <c r="F63" s="705"/>
      <c r="G63" s="164"/>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1"/>
      <c r="BY63" s="151"/>
      <c r="BZ63" s="151"/>
      <c r="CA63" s="151"/>
      <c r="CB63" s="151"/>
      <c r="CC63" s="151"/>
      <c r="CD63" s="151"/>
      <c r="CE63" s="151"/>
      <c r="CF63" s="151"/>
      <c r="CG63" s="151"/>
      <c r="CH63" s="151"/>
      <c r="CI63" s="151"/>
      <c r="CJ63" s="151"/>
      <c r="CK63" s="151"/>
      <c r="CL63" s="151"/>
      <c r="CM63" s="151"/>
      <c r="CN63" s="151"/>
      <c r="CO63" s="151"/>
      <c r="CP63" s="151"/>
      <c r="CQ63" s="151"/>
      <c r="CR63" s="151"/>
      <c r="CS63" s="151"/>
      <c r="CT63" s="151"/>
      <c r="CU63" s="151"/>
      <c r="CV63" s="151"/>
      <c r="CW63" s="151"/>
      <c r="CX63" s="151"/>
      <c r="CY63" s="151"/>
      <c r="CZ63" s="151"/>
      <c r="DA63" s="151"/>
      <c r="DB63" s="151"/>
      <c r="DC63" s="151"/>
      <c r="DD63" s="151"/>
      <c r="DE63" s="151"/>
      <c r="DF63" s="151"/>
      <c r="DG63" s="151"/>
      <c r="DH63" s="151"/>
      <c r="DI63" s="151"/>
      <c r="DJ63" s="151"/>
      <c r="DK63" s="151"/>
      <c r="DL63" s="151"/>
      <c r="DM63" s="151"/>
      <c r="DN63" s="151"/>
      <c r="DO63" s="151"/>
      <c r="DP63" s="151"/>
      <c r="DQ63" s="151"/>
      <c r="DR63" s="151"/>
      <c r="DS63" s="151"/>
      <c r="DT63" s="151"/>
      <c r="DU63" s="151"/>
      <c r="DV63" s="151"/>
      <c r="DW63" s="151"/>
      <c r="DX63" s="151"/>
      <c r="DY63" s="151"/>
      <c r="DZ63" s="151"/>
      <c r="EA63" s="151"/>
      <c r="EB63" s="151"/>
      <c r="EC63" s="151"/>
      <c r="ED63" s="151"/>
      <c r="EE63" s="151"/>
      <c r="EF63" s="151"/>
      <c r="EG63" s="151"/>
      <c r="EH63" s="151"/>
      <c r="EI63" s="151"/>
      <c r="EJ63" s="151"/>
      <c r="EK63" s="151"/>
      <c r="EL63" s="151"/>
      <c r="EM63" s="151"/>
      <c r="EN63" s="151"/>
      <c r="EO63" s="151"/>
      <c r="EP63" s="151"/>
      <c r="EQ63" s="151"/>
      <c r="ER63" s="151"/>
      <c r="ES63" s="151"/>
      <c r="ET63" s="151"/>
      <c r="EU63" s="151"/>
      <c r="EV63" s="151"/>
      <c r="EW63" s="151"/>
      <c r="EX63" s="151"/>
      <c r="EY63" s="151"/>
      <c r="EZ63" s="151"/>
      <c r="FA63" s="151"/>
      <c r="FB63" s="151"/>
      <c r="FC63" s="151"/>
      <c r="FD63" s="151"/>
      <c r="FE63" s="151"/>
      <c r="FF63" s="151"/>
      <c r="FG63" s="151"/>
      <c r="FH63" s="151"/>
      <c r="FI63" s="151"/>
      <c r="FJ63" s="151"/>
      <c r="FK63" s="151"/>
      <c r="FL63" s="151"/>
      <c r="FM63" s="151"/>
      <c r="FN63" s="151"/>
      <c r="FO63" s="151"/>
      <c r="FP63" s="151"/>
      <c r="FQ63" s="151"/>
      <c r="FR63" s="151"/>
      <c r="FS63" s="151"/>
      <c r="FT63" s="151"/>
      <c r="FU63" s="151"/>
      <c r="FV63" s="151"/>
      <c r="FW63" s="151"/>
      <c r="FX63" s="151"/>
      <c r="FY63" s="151"/>
      <c r="FZ63" s="151"/>
      <c r="GA63" s="151"/>
      <c r="GB63" s="151"/>
      <c r="GC63" s="151"/>
      <c r="GD63" s="151"/>
      <c r="GE63" s="151"/>
      <c r="GF63" s="151"/>
      <c r="GG63" s="151"/>
      <c r="GH63" s="151"/>
      <c r="GI63" s="151"/>
      <c r="GJ63" s="151"/>
      <c r="GK63" s="151"/>
      <c r="GL63" s="151"/>
      <c r="GM63" s="151"/>
      <c r="GN63" s="151"/>
      <c r="GO63" s="151"/>
      <c r="GP63" s="151"/>
    </row>
    <row r="64" spans="1:198" s="152" customFormat="1" ht="29.4" customHeight="1">
      <c r="A64" s="706" t="s">
        <v>1615</v>
      </c>
      <c r="B64" s="707" t="s">
        <v>497</v>
      </c>
      <c r="C64" s="606" t="s">
        <v>33</v>
      </c>
      <c r="D64" s="606">
        <f>CEILING(D5*1.4,1)</f>
        <v>175</v>
      </c>
      <c r="E64" s="586"/>
      <c r="F64" s="978">
        <f>D64*E64</f>
        <v>0</v>
      </c>
      <c r="G64" s="164"/>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c r="BY64" s="151"/>
      <c r="BZ64" s="151"/>
      <c r="CA64" s="151"/>
      <c r="CB64" s="151"/>
      <c r="CC64" s="151"/>
      <c r="CD64" s="151"/>
      <c r="CE64" s="151"/>
      <c r="CF64" s="151"/>
      <c r="CG64" s="151"/>
      <c r="CH64" s="151"/>
      <c r="CI64" s="151"/>
      <c r="CJ64" s="151"/>
      <c r="CK64" s="151"/>
      <c r="CL64" s="151"/>
      <c r="CM64" s="151"/>
      <c r="CN64" s="151"/>
      <c r="CO64" s="151"/>
      <c r="CP64" s="151"/>
      <c r="CQ64" s="151"/>
      <c r="CR64" s="151"/>
      <c r="CS64" s="151"/>
      <c r="CT64" s="151"/>
      <c r="CU64" s="151"/>
      <c r="CV64" s="151"/>
      <c r="CW64" s="151"/>
      <c r="CX64" s="151"/>
      <c r="CY64" s="151"/>
      <c r="CZ64" s="151"/>
      <c r="DA64" s="151"/>
      <c r="DB64" s="151"/>
      <c r="DC64" s="151"/>
      <c r="DD64" s="151"/>
      <c r="DE64" s="151"/>
      <c r="DF64" s="151"/>
      <c r="DG64" s="151"/>
      <c r="DH64" s="151"/>
      <c r="DI64" s="151"/>
      <c r="DJ64" s="151"/>
      <c r="DK64" s="151"/>
      <c r="DL64" s="151"/>
      <c r="DM64" s="151"/>
      <c r="DN64" s="151"/>
      <c r="DO64" s="151"/>
      <c r="DP64" s="151"/>
      <c r="DQ64" s="151"/>
      <c r="DR64" s="151"/>
      <c r="DS64" s="151"/>
      <c r="DT64" s="151"/>
      <c r="DU64" s="151"/>
      <c r="DV64" s="151"/>
      <c r="DW64" s="151"/>
      <c r="DX64" s="151"/>
      <c r="DY64" s="151"/>
      <c r="DZ64" s="151"/>
      <c r="EA64" s="151"/>
      <c r="EB64" s="151"/>
      <c r="EC64" s="151"/>
      <c r="ED64" s="151"/>
      <c r="EE64" s="151"/>
      <c r="EF64" s="151"/>
      <c r="EG64" s="151"/>
      <c r="EH64" s="151"/>
      <c r="EI64" s="151"/>
      <c r="EJ64" s="151"/>
      <c r="EK64" s="151"/>
      <c r="EL64" s="151"/>
      <c r="EM64" s="151"/>
      <c r="EN64" s="151"/>
      <c r="EO64" s="151"/>
      <c r="EP64" s="151"/>
      <c r="EQ64" s="151"/>
      <c r="ER64" s="151"/>
      <c r="ES64" s="151"/>
      <c r="ET64" s="151"/>
      <c r="EU64" s="151"/>
      <c r="EV64" s="151"/>
      <c r="EW64" s="151"/>
      <c r="EX64" s="151"/>
      <c r="EY64" s="151"/>
      <c r="EZ64" s="151"/>
      <c r="FA64" s="151"/>
      <c r="FB64" s="151"/>
      <c r="FC64" s="151"/>
      <c r="FD64" s="151"/>
      <c r="FE64" s="151"/>
      <c r="FF64" s="151"/>
      <c r="FG64" s="151"/>
      <c r="FH64" s="151"/>
      <c r="FI64" s="151"/>
      <c r="FJ64" s="151"/>
      <c r="FK64" s="151"/>
      <c r="FL64" s="151"/>
      <c r="FM64" s="151"/>
      <c r="FN64" s="151"/>
      <c r="FO64" s="151"/>
      <c r="FP64" s="151"/>
      <c r="FQ64" s="151"/>
      <c r="FR64" s="151"/>
      <c r="FS64" s="151"/>
      <c r="FT64" s="151"/>
      <c r="FU64" s="151"/>
      <c r="FV64" s="151"/>
      <c r="FW64" s="151"/>
      <c r="FX64" s="151"/>
      <c r="FY64" s="151"/>
      <c r="FZ64" s="151"/>
      <c r="GA64" s="151"/>
      <c r="GB64" s="151"/>
      <c r="GC64" s="151"/>
      <c r="GD64" s="151"/>
      <c r="GE64" s="151"/>
      <c r="GF64" s="151"/>
      <c r="GG64" s="151"/>
      <c r="GH64" s="151"/>
      <c r="GI64" s="151"/>
      <c r="GJ64" s="151"/>
      <c r="GK64" s="151"/>
      <c r="GL64" s="151"/>
      <c r="GM64" s="151"/>
      <c r="GN64" s="151"/>
      <c r="GO64" s="151"/>
      <c r="GP64" s="151"/>
    </row>
    <row r="65" spans="1:198" s="152" customFormat="1" ht="15.5">
      <c r="A65" s="702" t="s">
        <v>1616</v>
      </c>
      <c r="B65" s="704" t="s">
        <v>379</v>
      </c>
      <c r="C65" s="617" t="s">
        <v>50</v>
      </c>
      <c r="D65" s="617">
        <f>25*5</f>
        <v>125</v>
      </c>
      <c r="E65" s="618"/>
      <c r="F65" s="978">
        <f t="shared" ref="F65:F70" si="4">D65*E65</f>
        <v>0</v>
      </c>
      <c r="G65" s="164"/>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151"/>
      <c r="BY65" s="151"/>
      <c r="BZ65" s="151"/>
      <c r="CA65" s="151"/>
      <c r="CB65" s="151"/>
      <c r="CC65" s="151"/>
      <c r="CD65" s="151"/>
      <c r="CE65" s="151"/>
      <c r="CF65" s="151"/>
      <c r="CG65" s="151"/>
      <c r="CH65" s="151"/>
      <c r="CI65" s="151"/>
      <c r="CJ65" s="151"/>
      <c r="CK65" s="151"/>
      <c r="CL65" s="151"/>
      <c r="CM65" s="151"/>
      <c r="CN65" s="151"/>
      <c r="CO65" s="151"/>
      <c r="CP65" s="151"/>
      <c r="CQ65" s="151"/>
      <c r="CR65" s="151"/>
      <c r="CS65" s="151"/>
      <c r="CT65" s="151"/>
      <c r="CU65" s="151"/>
      <c r="CV65" s="151"/>
      <c r="CW65" s="151"/>
      <c r="CX65" s="151"/>
      <c r="CY65" s="151"/>
      <c r="CZ65" s="151"/>
      <c r="DA65" s="151"/>
      <c r="DB65" s="151"/>
      <c r="DC65" s="151"/>
      <c r="DD65" s="151"/>
      <c r="DE65" s="151"/>
      <c r="DF65" s="151"/>
      <c r="DG65" s="151"/>
      <c r="DH65" s="151"/>
      <c r="DI65" s="151"/>
      <c r="DJ65" s="151"/>
      <c r="DK65" s="151"/>
      <c r="DL65" s="151"/>
      <c r="DM65" s="151"/>
      <c r="DN65" s="151"/>
      <c r="DO65" s="151"/>
      <c r="DP65" s="151"/>
      <c r="DQ65" s="151"/>
      <c r="DR65" s="151"/>
      <c r="DS65" s="151"/>
      <c r="DT65" s="151"/>
      <c r="DU65" s="151"/>
      <c r="DV65" s="151"/>
      <c r="DW65" s="151"/>
      <c r="DX65" s="151"/>
      <c r="DY65" s="151"/>
      <c r="DZ65" s="151"/>
      <c r="EA65" s="151"/>
      <c r="EB65" s="151"/>
      <c r="EC65" s="151"/>
      <c r="ED65" s="151"/>
      <c r="EE65" s="151"/>
      <c r="EF65" s="151"/>
      <c r="EG65" s="151"/>
      <c r="EH65" s="151"/>
      <c r="EI65" s="151"/>
      <c r="EJ65" s="151"/>
      <c r="EK65" s="151"/>
      <c r="EL65" s="151"/>
      <c r="EM65" s="151"/>
      <c r="EN65" s="151"/>
      <c r="EO65" s="151"/>
      <c r="EP65" s="151"/>
      <c r="EQ65" s="151"/>
      <c r="ER65" s="151"/>
      <c r="ES65" s="151"/>
      <c r="ET65" s="151"/>
      <c r="EU65" s="151"/>
      <c r="EV65" s="151"/>
      <c r="EW65" s="151"/>
      <c r="EX65" s="151"/>
      <c r="EY65" s="151"/>
      <c r="EZ65" s="151"/>
      <c r="FA65" s="151"/>
      <c r="FB65" s="151"/>
      <c r="FC65" s="151"/>
      <c r="FD65" s="151"/>
      <c r="FE65" s="151"/>
      <c r="FF65" s="151"/>
      <c r="FG65" s="151"/>
      <c r="FH65" s="151"/>
      <c r="FI65" s="151"/>
      <c r="FJ65" s="151"/>
      <c r="FK65" s="151"/>
      <c r="FL65" s="151"/>
      <c r="FM65" s="151"/>
      <c r="FN65" s="151"/>
      <c r="FO65" s="151"/>
      <c r="FP65" s="151"/>
      <c r="FQ65" s="151"/>
      <c r="FR65" s="151"/>
      <c r="FS65" s="151"/>
      <c r="FT65" s="151"/>
      <c r="FU65" s="151"/>
      <c r="FV65" s="151"/>
      <c r="FW65" s="151"/>
      <c r="FX65" s="151"/>
      <c r="FY65" s="151"/>
      <c r="FZ65" s="151"/>
      <c r="GA65" s="151"/>
      <c r="GB65" s="151"/>
      <c r="GC65" s="151"/>
      <c r="GD65" s="151"/>
      <c r="GE65" s="151"/>
      <c r="GF65" s="151"/>
      <c r="GG65" s="151"/>
      <c r="GH65" s="151"/>
      <c r="GI65" s="151"/>
      <c r="GJ65" s="151"/>
      <c r="GK65" s="151"/>
      <c r="GL65" s="151"/>
      <c r="GM65" s="151"/>
      <c r="GN65" s="151"/>
      <c r="GO65" s="151"/>
      <c r="GP65" s="151"/>
    </row>
    <row r="66" spans="1:198" s="152" customFormat="1" ht="15.5">
      <c r="A66" s="706" t="s">
        <v>1617</v>
      </c>
      <c r="B66" s="704" t="s">
        <v>380</v>
      </c>
      <c r="C66" s="617" t="s">
        <v>50</v>
      </c>
      <c r="D66" s="617">
        <f>CEILING(13.4*8,1)</f>
        <v>108</v>
      </c>
      <c r="E66" s="618"/>
      <c r="F66" s="978">
        <f t="shared" si="4"/>
        <v>0</v>
      </c>
      <c r="G66" s="164"/>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c r="CA66" s="151"/>
      <c r="CB66" s="151"/>
      <c r="CC66" s="151"/>
      <c r="CD66" s="151"/>
      <c r="CE66" s="151"/>
      <c r="CF66" s="151"/>
      <c r="CG66" s="151"/>
      <c r="CH66" s="151"/>
      <c r="CI66" s="151"/>
      <c r="CJ66" s="151"/>
      <c r="CK66" s="151"/>
      <c r="CL66" s="151"/>
      <c r="CM66" s="151"/>
      <c r="CN66" s="151"/>
      <c r="CO66" s="151"/>
      <c r="CP66" s="151"/>
      <c r="CQ66" s="151"/>
      <c r="CR66" s="151"/>
      <c r="CS66" s="151"/>
      <c r="CT66" s="151"/>
      <c r="CU66" s="151"/>
      <c r="CV66" s="151"/>
      <c r="CW66" s="151"/>
      <c r="CX66" s="151"/>
      <c r="CY66" s="151"/>
      <c r="CZ66" s="151"/>
      <c r="DA66" s="151"/>
      <c r="DB66" s="151"/>
      <c r="DC66" s="151"/>
      <c r="DD66" s="151"/>
      <c r="DE66" s="151"/>
      <c r="DF66" s="151"/>
      <c r="DG66" s="151"/>
      <c r="DH66" s="151"/>
      <c r="DI66" s="151"/>
      <c r="DJ66" s="151"/>
      <c r="DK66" s="151"/>
      <c r="DL66" s="151"/>
      <c r="DM66" s="151"/>
      <c r="DN66" s="151"/>
      <c r="DO66" s="151"/>
      <c r="DP66" s="151"/>
      <c r="DQ66" s="151"/>
      <c r="DR66" s="151"/>
      <c r="DS66" s="151"/>
      <c r="DT66" s="151"/>
      <c r="DU66" s="151"/>
      <c r="DV66" s="151"/>
      <c r="DW66" s="151"/>
      <c r="DX66" s="151"/>
      <c r="DY66" s="151"/>
      <c r="DZ66" s="151"/>
      <c r="EA66" s="151"/>
      <c r="EB66" s="151"/>
      <c r="EC66" s="151"/>
      <c r="ED66" s="151"/>
      <c r="EE66" s="151"/>
      <c r="EF66" s="151"/>
      <c r="EG66" s="151"/>
      <c r="EH66" s="151"/>
      <c r="EI66" s="151"/>
      <c r="EJ66" s="151"/>
      <c r="EK66" s="151"/>
      <c r="EL66" s="151"/>
      <c r="EM66" s="151"/>
      <c r="EN66" s="151"/>
      <c r="EO66" s="151"/>
      <c r="EP66" s="151"/>
      <c r="EQ66" s="151"/>
      <c r="ER66" s="151"/>
      <c r="ES66" s="151"/>
      <c r="ET66" s="151"/>
      <c r="EU66" s="151"/>
      <c r="EV66" s="151"/>
      <c r="EW66" s="151"/>
      <c r="EX66" s="151"/>
      <c r="EY66" s="151"/>
      <c r="EZ66" s="151"/>
      <c r="FA66" s="151"/>
      <c r="FB66" s="151"/>
      <c r="FC66" s="151"/>
      <c r="FD66" s="151"/>
      <c r="FE66" s="151"/>
      <c r="FF66" s="151"/>
      <c r="FG66" s="151"/>
      <c r="FH66" s="151"/>
      <c r="FI66" s="151"/>
      <c r="FJ66" s="151"/>
      <c r="FK66" s="151"/>
      <c r="FL66" s="151"/>
      <c r="FM66" s="151"/>
      <c r="FN66" s="151"/>
      <c r="FO66" s="151"/>
      <c r="FP66" s="151"/>
      <c r="FQ66" s="151"/>
      <c r="FR66" s="151"/>
      <c r="FS66" s="151"/>
      <c r="FT66" s="151"/>
      <c r="FU66" s="151"/>
      <c r="FV66" s="151"/>
      <c r="FW66" s="151"/>
      <c r="FX66" s="151"/>
      <c r="FY66" s="151"/>
      <c r="FZ66" s="151"/>
      <c r="GA66" s="151"/>
      <c r="GB66" s="151"/>
      <c r="GC66" s="151"/>
      <c r="GD66" s="151"/>
      <c r="GE66" s="151"/>
      <c r="GF66" s="151"/>
      <c r="GG66" s="151"/>
      <c r="GH66" s="151"/>
      <c r="GI66" s="151"/>
      <c r="GJ66" s="151"/>
      <c r="GK66" s="151"/>
      <c r="GL66" s="151"/>
      <c r="GM66" s="151"/>
      <c r="GN66" s="151"/>
      <c r="GO66" s="151"/>
      <c r="GP66" s="151"/>
    </row>
    <row r="67" spans="1:198" s="154" customFormat="1" ht="15.5">
      <c r="A67" s="702" t="s">
        <v>1618</v>
      </c>
      <c r="B67" s="704" t="s">
        <v>381</v>
      </c>
      <c r="C67" s="648" t="s">
        <v>50</v>
      </c>
      <c r="D67" s="617">
        <v>70</v>
      </c>
      <c r="E67" s="618"/>
      <c r="F67" s="978">
        <f t="shared" si="4"/>
        <v>0</v>
      </c>
      <c r="G67" s="166"/>
    </row>
    <row r="68" spans="1:198" s="152" customFormat="1" ht="15.5">
      <c r="A68" s="706" t="s">
        <v>1618</v>
      </c>
      <c r="B68" s="704" t="s">
        <v>382</v>
      </c>
      <c r="C68" s="606" t="s">
        <v>50</v>
      </c>
      <c r="D68" s="606">
        <v>50</v>
      </c>
      <c r="E68" s="586"/>
      <c r="F68" s="978">
        <f t="shared" si="4"/>
        <v>0</v>
      </c>
      <c r="G68" s="164"/>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c r="BX68" s="151"/>
      <c r="BY68" s="151"/>
      <c r="BZ68" s="151"/>
      <c r="CA68" s="151"/>
      <c r="CB68" s="151"/>
      <c r="CC68" s="151"/>
      <c r="CD68" s="151"/>
      <c r="CE68" s="151"/>
      <c r="CF68" s="151"/>
      <c r="CG68" s="151"/>
      <c r="CH68" s="151"/>
      <c r="CI68" s="151"/>
      <c r="CJ68" s="151"/>
      <c r="CK68" s="151"/>
      <c r="CL68" s="151"/>
      <c r="CM68" s="151"/>
      <c r="CN68" s="151"/>
      <c r="CO68" s="151"/>
      <c r="CP68" s="151"/>
      <c r="CQ68" s="151"/>
      <c r="CR68" s="151"/>
      <c r="CS68" s="151"/>
      <c r="CT68" s="151"/>
      <c r="CU68" s="151"/>
      <c r="CV68" s="151"/>
      <c r="CW68" s="151"/>
      <c r="CX68" s="151"/>
      <c r="CY68" s="151"/>
      <c r="CZ68" s="151"/>
      <c r="DA68" s="151"/>
      <c r="DB68" s="151"/>
      <c r="DC68" s="151"/>
      <c r="DD68" s="151"/>
      <c r="DE68" s="151"/>
      <c r="DF68" s="151"/>
      <c r="DG68" s="151"/>
      <c r="DH68" s="151"/>
      <c r="DI68" s="151"/>
      <c r="DJ68" s="151"/>
      <c r="DK68" s="151"/>
      <c r="DL68" s="151"/>
      <c r="DM68" s="151"/>
      <c r="DN68" s="151"/>
      <c r="DO68" s="151"/>
      <c r="DP68" s="151"/>
      <c r="DQ68" s="151"/>
      <c r="DR68" s="151"/>
      <c r="DS68" s="151"/>
      <c r="DT68" s="151"/>
      <c r="DU68" s="151"/>
      <c r="DV68" s="151"/>
      <c r="DW68" s="151"/>
      <c r="DX68" s="151"/>
      <c r="DY68" s="151"/>
      <c r="DZ68" s="151"/>
      <c r="EA68" s="151"/>
      <c r="EB68" s="151"/>
      <c r="EC68" s="151"/>
      <c r="ED68" s="151"/>
      <c r="EE68" s="151"/>
      <c r="EF68" s="151"/>
      <c r="EG68" s="151"/>
      <c r="EH68" s="151"/>
      <c r="EI68" s="151"/>
      <c r="EJ68" s="151"/>
      <c r="EK68" s="151"/>
      <c r="EL68" s="151"/>
      <c r="EM68" s="151"/>
      <c r="EN68" s="151"/>
      <c r="EO68" s="151"/>
      <c r="EP68" s="151"/>
      <c r="EQ68" s="151"/>
      <c r="ER68" s="151"/>
      <c r="ES68" s="151"/>
      <c r="ET68" s="151"/>
      <c r="EU68" s="151"/>
      <c r="EV68" s="151"/>
      <c r="EW68" s="151"/>
      <c r="EX68" s="151"/>
      <c r="EY68" s="151"/>
      <c r="EZ68" s="151"/>
      <c r="FA68" s="151"/>
      <c r="FB68" s="151"/>
      <c r="FC68" s="151"/>
      <c r="FD68" s="151"/>
      <c r="FE68" s="151"/>
      <c r="FF68" s="151"/>
      <c r="FG68" s="151"/>
      <c r="FH68" s="151"/>
      <c r="FI68" s="151"/>
      <c r="FJ68" s="151"/>
      <c r="FK68" s="151"/>
      <c r="FL68" s="151"/>
      <c r="FM68" s="151"/>
      <c r="FN68" s="151"/>
      <c r="FO68" s="151"/>
      <c r="FP68" s="151"/>
      <c r="FQ68" s="151"/>
      <c r="FR68" s="151"/>
      <c r="FS68" s="151"/>
      <c r="FT68" s="151"/>
      <c r="FU68" s="151"/>
      <c r="FV68" s="151"/>
      <c r="FW68" s="151"/>
      <c r="FX68" s="151"/>
      <c r="FY68" s="151"/>
      <c r="FZ68" s="151"/>
      <c r="GA68" s="151"/>
      <c r="GB68" s="151"/>
      <c r="GC68" s="151"/>
      <c r="GD68" s="151"/>
      <c r="GE68" s="151"/>
      <c r="GF68" s="151"/>
      <c r="GG68" s="151"/>
      <c r="GH68" s="151"/>
      <c r="GI68" s="151"/>
      <c r="GJ68" s="151"/>
      <c r="GK68" s="151"/>
      <c r="GL68" s="151"/>
      <c r="GM68" s="151"/>
      <c r="GN68" s="151"/>
      <c r="GO68" s="151"/>
      <c r="GP68" s="151"/>
    </row>
    <row r="69" spans="1:198" s="154" customFormat="1" ht="19.25" customHeight="1">
      <c r="A69" s="702" t="s">
        <v>1619</v>
      </c>
      <c r="B69" s="704" t="s">
        <v>383</v>
      </c>
      <c r="C69" s="606" t="s">
        <v>50</v>
      </c>
      <c r="D69" s="606">
        <v>20</v>
      </c>
      <c r="E69" s="586"/>
      <c r="F69" s="978">
        <f t="shared" si="4"/>
        <v>0</v>
      </c>
      <c r="G69" s="166"/>
    </row>
    <row r="70" spans="1:198" s="154" customFormat="1" ht="19.25" customHeight="1">
      <c r="A70" s="706" t="s">
        <v>1620</v>
      </c>
      <c r="B70" s="704" t="s">
        <v>384</v>
      </c>
      <c r="C70" s="606" t="s">
        <v>50</v>
      </c>
      <c r="D70" s="606">
        <v>6</v>
      </c>
      <c r="E70" s="586"/>
      <c r="F70" s="978">
        <f t="shared" si="4"/>
        <v>0</v>
      </c>
      <c r="G70" s="166"/>
    </row>
    <row r="71" spans="1:198" s="149" customFormat="1" ht="15.5">
      <c r="A71" s="702" t="s">
        <v>34</v>
      </c>
      <c r="B71" s="708" t="s">
        <v>388</v>
      </c>
      <c r="C71" s="704" t="s">
        <v>34</v>
      </c>
      <c r="D71" s="704" t="s">
        <v>34</v>
      </c>
      <c r="E71" s="704"/>
      <c r="F71" s="979"/>
      <c r="G71" s="159"/>
    </row>
    <row r="72" spans="1:198" s="154" customFormat="1" ht="31">
      <c r="A72" s="706" t="s">
        <v>1618</v>
      </c>
      <c r="B72" s="707" t="s">
        <v>522</v>
      </c>
      <c r="C72" s="606" t="s">
        <v>33</v>
      </c>
      <c r="D72" s="606">
        <v>24</v>
      </c>
      <c r="E72" s="586"/>
      <c r="F72" s="612">
        <f>D72*E72</f>
        <v>0</v>
      </c>
      <c r="G72" s="166"/>
    </row>
    <row r="73" spans="1:198" s="152" customFormat="1" ht="29.4" customHeight="1">
      <c r="A73" s="706" t="s">
        <v>1621</v>
      </c>
      <c r="B73" s="707" t="s">
        <v>495</v>
      </c>
      <c r="C73" s="617" t="s">
        <v>33</v>
      </c>
      <c r="D73" s="617">
        <f>D72</f>
        <v>24</v>
      </c>
      <c r="E73" s="618"/>
      <c r="F73" s="612">
        <f>D73*E73</f>
        <v>0</v>
      </c>
      <c r="G73" s="164"/>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c r="BI73" s="151"/>
      <c r="BJ73" s="151"/>
      <c r="BK73" s="151"/>
      <c r="BL73" s="151"/>
      <c r="BM73" s="151"/>
      <c r="BN73" s="151"/>
      <c r="BO73" s="151"/>
      <c r="BP73" s="151"/>
      <c r="BQ73" s="151"/>
      <c r="BR73" s="151"/>
      <c r="BS73" s="151"/>
      <c r="BT73" s="151"/>
      <c r="BU73" s="151"/>
      <c r="BV73" s="151"/>
      <c r="BW73" s="151"/>
      <c r="BX73" s="151"/>
      <c r="BY73" s="151"/>
      <c r="BZ73" s="151"/>
      <c r="CA73" s="151"/>
      <c r="CB73" s="151"/>
      <c r="CC73" s="151"/>
      <c r="CD73" s="151"/>
      <c r="CE73" s="151"/>
      <c r="CF73" s="151"/>
      <c r="CG73" s="151"/>
      <c r="CH73" s="151"/>
      <c r="CI73" s="151"/>
      <c r="CJ73" s="151"/>
      <c r="CK73" s="151"/>
      <c r="CL73" s="151"/>
      <c r="CM73" s="151"/>
      <c r="CN73" s="151"/>
      <c r="CO73" s="151"/>
      <c r="CP73" s="151"/>
      <c r="CQ73" s="151"/>
      <c r="CR73" s="151"/>
      <c r="CS73" s="151"/>
      <c r="CT73" s="151"/>
      <c r="CU73" s="151"/>
      <c r="CV73" s="151"/>
      <c r="CW73" s="151"/>
      <c r="CX73" s="151"/>
      <c r="CY73" s="151"/>
      <c r="CZ73" s="151"/>
      <c r="DA73" s="151"/>
      <c r="DB73" s="151"/>
      <c r="DC73" s="151"/>
      <c r="DD73" s="151"/>
      <c r="DE73" s="151"/>
      <c r="DF73" s="151"/>
      <c r="DG73" s="151"/>
      <c r="DH73" s="151"/>
      <c r="DI73" s="151"/>
      <c r="DJ73" s="151"/>
      <c r="DK73" s="151"/>
      <c r="DL73" s="151"/>
      <c r="DM73" s="151"/>
      <c r="DN73" s="151"/>
      <c r="DO73" s="151"/>
      <c r="DP73" s="151"/>
      <c r="DQ73" s="151"/>
      <c r="DR73" s="151"/>
      <c r="DS73" s="151"/>
      <c r="DT73" s="151"/>
      <c r="DU73" s="151"/>
      <c r="DV73" s="151"/>
      <c r="DW73" s="151"/>
      <c r="DX73" s="151"/>
      <c r="DY73" s="151"/>
      <c r="DZ73" s="151"/>
      <c r="EA73" s="151"/>
      <c r="EB73" s="151"/>
      <c r="EC73" s="151"/>
      <c r="ED73" s="151"/>
      <c r="EE73" s="151"/>
      <c r="EF73" s="151"/>
      <c r="EG73" s="151"/>
      <c r="EH73" s="151"/>
      <c r="EI73" s="151"/>
      <c r="EJ73" s="151"/>
      <c r="EK73" s="151"/>
      <c r="EL73" s="151"/>
      <c r="EM73" s="151"/>
      <c r="EN73" s="151"/>
      <c r="EO73" s="151"/>
      <c r="EP73" s="151"/>
      <c r="EQ73" s="151"/>
      <c r="ER73" s="151"/>
      <c r="ES73" s="151"/>
      <c r="ET73" s="151"/>
      <c r="EU73" s="151"/>
      <c r="EV73" s="151"/>
      <c r="EW73" s="151"/>
      <c r="EX73" s="151"/>
      <c r="EY73" s="151"/>
      <c r="EZ73" s="151"/>
      <c r="FA73" s="151"/>
      <c r="FB73" s="151"/>
      <c r="FC73" s="151"/>
      <c r="FD73" s="151"/>
      <c r="FE73" s="151"/>
      <c r="FF73" s="151"/>
      <c r="FG73" s="151"/>
      <c r="FH73" s="151"/>
      <c r="FI73" s="151"/>
      <c r="FJ73" s="151"/>
      <c r="FK73" s="151"/>
      <c r="FL73" s="151"/>
      <c r="FM73" s="151"/>
      <c r="FN73" s="151"/>
      <c r="FO73" s="151"/>
      <c r="FP73" s="151"/>
      <c r="FQ73" s="151"/>
      <c r="FR73" s="151"/>
      <c r="FS73" s="151"/>
      <c r="FT73" s="151"/>
      <c r="FU73" s="151"/>
      <c r="FV73" s="151"/>
      <c r="FW73" s="151"/>
      <c r="FX73" s="151"/>
      <c r="FY73" s="151"/>
      <c r="FZ73" s="151"/>
      <c r="GA73" s="151"/>
      <c r="GB73" s="151"/>
      <c r="GC73" s="151"/>
      <c r="GD73" s="151"/>
      <c r="GE73" s="151"/>
      <c r="GF73" s="151"/>
      <c r="GG73" s="151"/>
      <c r="GH73" s="151"/>
      <c r="GI73" s="151"/>
      <c r="GJ73" s="151"/>
      <c r="GK73" s="151"/>
      <c r="GL73" s="151"/>
      <c r="GM73" s="151"/>
      <c r="GN73" s="151"/>
      <c r="GO73" s="151"/>
      <c r="GP73" s="151"/>
    </row>
    <row r="74" spans="1:198" s="152" customFormat="1" ht="17.25" customHeight="1">
      <c r="A74" s="702" t="s">
        <v>1630</v>
      </c>
      <c r="B74" s="704" t="s">
        <v>391</v>
      </c>
      <c r="C74" s="617" t="s">
        <v>50</v>
      </c>
      <c r="D74" s="617">
        <v>43</v>
      </c>
      <c r="E74" s="618"/>
      <c r="F74" s="612">
        <f t="shared" ref="F74:F106" si="5">E74*D74</f>
        <v>0</v>
      </c>
      <c r="G74" s="164"/>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c r="BX74" s="151"/>
      <c r="BY74" s="151"/>
      <c r="BZ74" s="151"/>
      <c r="CA74" s="151"/>
      <c r="CB74" s="151"/>
      <c r="CC74" s="151"/>
      <c r="CD74" s="151"/>
      <c r="CE74" s="151"/>
      <c r="CF74" s="151"/>
      <c r="CG74" s="151"/>
      <c r="CH74" s="151"/>
      <c r="CI74" s="151"/>
      <c r="CJ74" s="151"/>
      <c r="CK74" s="151"/>
      <c r="CL74" s="151"/>
      <c r="CM74" s="151"/>
      <c r="CN74" s="151"/>
      <c r="CO74" s="151"/>
      <c r="CP74" s="151"/>
      <c r="CQ74" s="151"/>
      <c r="CR74" s="151"/>
      <c r="CS74" s="151"/>
      <c r="CT74" s="151"/>
      <c r="CU74" s="151"/>
      <c r="CV74" s="151"/>
      <c r="CW74" s="151"/>
      <c r="CX74" s="151"/>
      <c r="CY74" s="151"/>
      <c r="CZ74" s="151"/>
      <c r="DA74" s="151"/>
      <c r="DB74" s="151"/>
      <c r="DC74" s="151"/>
      <c r="DD74" s="151"/>
      <c r="DE74" s="151"/>
      <c r="DF74" s="151"/>
      <c r="DG74" s="151"/>
      <c r="DH74" s="151"/>
      <c r="DI74" s="151"/>
      <c r="DJ74" s="151"/>
      <c r="DK74" s="151"/>
      <c r="DL74" s="151"/>
      <c r="DM74" s="151"/>
      <c r="DN74" s="151"/>
      <c r="DO74" s="151"/>
      <c r="DP74" s="151"/>
      <c r="DQ74" s="151"/>
      <c r="DR74" s="151"/>
      <c r="DS74" s="151"/>
      <c r="DT74" s="151"/>
      <c r="DU74" s="151"/>
      <c r="DV74" s="151"/>
      <c r="DW74" s="151"/>
      <c r="DX74" s="151"/>
      <c r="DY74" s="151"/>
      <c r="DZ74" s="151"/>
      <c r="EA74" s="151"/>
      <c r="EB74" s="151"/>
      <c r="EC74" s="151"/>
      <c r="ED74" s="151"/>
      <c r="EE74" s="151"/>
      <c r="EF74" s="151"/>
      <c r="EG74" s="151"/>
      <c r="EH74" s="151"/>
      <c r="EI74" s="151"/>
      <c r="EJ74" s="151"/>
      <c r="EK74" s="151"/>
      <c r="EL74" s="151"/>
      <c r="EM74" s="151"/>
      <c r="EN74" s="151"/>
      <c r="EO74" s="151"/>
      <c r="EP74" s="151"/>
      <c r="EQ74" s="151"/>
      <c r="ER74" s="151"/>
      <c r="ES74" s="151"/>
      <c r="ET74" s="151"/>
      <c r="EU74" s="151"/>
      <c r="EV74" s="151"/>
      <c r="EW74" s="151"/>
      <c r="EX74" s="151"/>
      <c r="EY74" s="151"/>
      <c r="EZ74" s="151"/>
      <c r="FA74" s="151"/>
      <c r="FB74" s="151"/>
      <c r="FC74" s="151"/>
      <c r="FD74" s="151"/>
      <c r="FE74" s="151"/>
      <c r="FF74" s="151"/>
      <c r="FG74" s="151"/>
      <c r="FH74" s="151"/>
      <c r="FI74" s="151"/>
      <c r="FJ74" s="151"/>
      <c r="FK74" s="151"/>
      <c r="FL74" s="151"/>
      <c r="FM74" s="151"/>
      <c r="FN74" s="151"/>
      <c r="FO74" s="151"/>
      <c r="FP74" s="151"/>
      <c r="FQ74" s="151"/>
      <c r="FR74" s="151"/>
      <c r="FS74" s="151"/>
      <c r="FT74" s="151"/>
      <c r="FU74" s="151"/>
      <c r="FV74" s="151"/>
      <c r="FW74" s="151"/>
      <c r="FX74" s="151"/>
      <c r="FY74" s="151"/>
      <c r="FZ74" s="151"/>
      <c r="GA74" s="151"/>
      <c r="GB74" s="151"/>
      <c r="GC74" s="151"/>
      <c r="GD74" s="151"/>
      <c r="GE74" s="151"/>
      <c r="GF74" s="151"/>
      <c r="GG74" s="151"/>
      <c r="GH74" s="151"/>
      <c r="GI74" s="151"/>
      <c r="GJ74" s="151"/>
      <c r="GK74" s="151"/>
      <c r="GL74" s="151"/>
      <c r="GM74" s="151"/>
      <c r="GN74" s="151"/>
      <c r="GO74" s="151"/>
      <c r="GP74" s="151"/>
    </row>
    <row r="75" spans="1:198" s="150" customFormat="1" ht="17.25" customHeight="1">
      <c r="A75" s="710"/>
      <c r="B75" s="703" t="s">
        <v>1237</v>
      </c>
      <c r="C75" s="715"/>
      <c r="D75" s="715"/>
      <c r="E75" s="688"/>
      <c r="F75" s="605">
        <f>SUM(F64:F74)</f>
        <v>0</v>
      </c>
      <c r="G75" s="165"/>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c r="BI75" s="153"/>
      <c r="BJ75" s="153"/>
      <c r="BK75" s="153"/>
      <c r="BL75" s="153"/>
      <c r="BM75" s="153"/>
      <c r="BN75" s="153"/>
      <c r="BO75" s="153"/>
      <c r="BP75" s="153"/>
      <c r="BQ75" s="153"/>
      <c r="BR75" s="153"/>
      <c r="BS75" s="153"/>
      <c r="BT75" s="153"/>
      <c r="BU75" s="153"/>
      <c r="BV75" s="153"/>
      <c r="BW75" s="153"/>
      <c r="BX75" s="153"/>
      <c r="BY75" s="153"/>
      <c r="BZ75" s="153"/>
      <c r="CA75" s="153"/>
      <c r="CB75" s="153"/>
      <c r="CC75" s="153"/>
      <c r="CD75" s="153"/>
      <c r="CE75" s="153"/>
      <c r="CF75" s="153"/>
      <c r="CG75" s="153"/>
      <c r="CH75" s="153"/>
      <c r="CI75" s="153"/>
      <c r="CJ75" s="153"/>
      <c r="CK75" s="153"/>
      <c r="CL75" s="153"/>
      <c r="CM75" s="153"/>
      <c r="CN75" s="153"/>
      <c r="CO75" s="153"/>
      <c r="CP75" s="153"/>
      <c r="CQ75" s="153"/>
      <c r="CR75" s="153"/>
      <c r="CS75" s="153"/>
      <c r="CT75" s="153"/>
      <c r="CU75" s="153"/>
      <c r="CV75" s="153"/>
      <c r="CW75" s="153"/>
      <c r="CX75" s="153"/>
      <c r="CY75" s="153"/>
      <c r="CZ75" s="153"/>
      <c r="DA75" s="153"/>
      <c r="DB75" s="153"/>
      <c r="DC75" s="153"/>
      <c r="DD75" s="153"/>
      <c r="DE75" s="153"/>
      <c r="DF75" s="153"/>
      <c r="DG75" s="153"/>
      <c r="DH75" s="153"/>
      <c r="DI75" s="153"/>
      <c r="DJ75" s="153"/>
      <c r="DK75" s="153"/>
      <c r="DL75" s="153"/>
      <c r="DM75" s="153"/>
      <c r="DN75" s="153"/>
      <c r="DO75" s="153"/>
      <c r="DP75" s="153"/>
      <c r="DQ75" s="153"/>
      <c r="DR75" s="153"/>
      <c r="DS75" s="153"/>
      <c r="DT75" s="153"/>
      <c r="DU75" s="153"/>
      <c r="DV75" s="153"/>
      <c r="DW75" s="153"/>
      <c r="DX75" s="153"/>
      <c r="DY75" s="153"/>
      <c r="DZ75" s="153"/>
      <c r="EA75" s="153"/>
      <c r="EB75" s="153"/>
      <c r="EC75" s="153"/>
      <c r="ED75" s="153"/>
      <c r="EE75" s="153"/>
      <c r="EF75" s="153"/>
      <c r="EG75" s="153"/>
      <c r="EH75" s="153"/>
      <c r="EI75" s="153"/>
      <c r="EJ75" s="153"/>
      <c r="EK75" s="153"/>
      <c r="EL75" s="153"/>
      <c r="EM75" s="153"/>
      <c r="EN75" s="153"/>
      <c r="EO75" s="153"/>
      <c r="EP75" s="153"/>
      <c r="EQ75" s="153"/>
      <c r="ER75" s="153"/>
      <c r="ES75" s="153"/>
      <c r="ET75" s="153"/>
      <c r="EU75" s="153"/>
      <c r="EV75" s="153"/>
      <c r="EW75" s="153"/>
      <c r="EX75" s="153"/>
      <c r="EY75" s="153"/>
      <c r="EZ75" s="153"/>
      <c r="FA75" s="153"/>
      <c r="FB75" s="153"/>
      <c r="FC75" s="153"/>
      <c r="FD75" s="153"/>
      <c r="FE75" s="153"/>
      <c r="FF75" s="153"/>
      <c r="FG75" s="153"/>
      <c r="FH75" s="153"/>
      <c r="FI75" s="153"/>
      <c r="FJ75" s="153"/>
      <c r="FK75" s="153"/>
      <c r="FL75" s="153"/>
      <c r="FM75" s="153"/>
      <c r="FN75" s="153"/>
      <c r="FO75" s="153"/>
      <c r="FP75" s="153"/>
      <c r="FQ75" s="153"/>
      <c r="FR75" s="153"/>
      <c r="FS75" s="153"/>
      <c r="FT75" s="153"/>
      <c r="FU75" s="153"/>
      <c r="FV75" s="153"/>
      <c r="FW75" s="153"/>
      <c r="FX75" s="153"/>
      <c r="FY75" s="153"/>
      <c r="FZ75" s="153"/>
      <c r="GA75" s="153"/>
      <c r="GB75" s="153"/>
      <c r="GC75" s="153"/>
      <c r="GD75" s="153"/>
      <c r="GE75" s="153"/>
      <c r="GF75" s="153"/>
      <c r="GG75" s="153"/>
      <c r="GH75" s="153"/>
      <c r="GI75" s="153"/>
      <c r="GJ75" s="153"/>
      <c r="GK75" s="153"/>
      <c r="GL75" s="153"/>
      <c r="GM75" s="153"/>
      <c r="GN75" s="153"/>
      <c r="GO75" s="153"/>
      <c r="GP75" s="153"/>
    </row>
    <row r="76" spans="1:198">
      <c r="A76" s="668" t="s">
        <v>0</v>
      </c>
      <c r="B76" s="669" t="s">
        <v>1</v>
      </c>
      <c r="C76" s="592" t="s">
        <v>2</v>
      </c>
      <c r="D76" s="593" t="s">
        <v>426</v>
      </c>
      <c r="E76" s="594" t="s">
        <v>368</v>
      </c>
      <c r="F76" s="976" t="s">
        <v>472</v>
      </c>
      <c r="G76" s="186"/>
    </row>
    <row r="77" spans="1:198" s="11" customFormat="1">
      <c r="A77" s="670"/>
      <c r="B77" s="584" t="s">
        <v>859</v>
      </c>
      <c r="C77" s="671"/>
      <c r="D77" s="672"/>
      <c r="E77" s="607"/>
      <c r="F77" s="587"/>
      <c r="G77" s="131"/>
    </row>
    <row r="78" spans="1:198" s="101" customFormat="1">
      <c r="A78" s="678">
        <v>3</v>
      </c>
      <c r="B78" s="674" t="s">
        <v>1235</v>
      </c>
      <c r="C78" s="648"/>
      <c r="D78" s="617"/>
      <c r="E78" s="618"/>
      <c r="F78" s="675"/>
      <c r="G78" s="159"/>
    </row>
    <row r="79" spans="1:198" s="101" customFormat="1">
      <c r="A79" s="678"/>
      <c r="B79" s="674" t="s">
        <v>1238</v>
      </c>
      <c r="C79" s="648"/>
      <c r="D79" s="617"/>
      <c r="E79" s="618"/>
      <c r="F79" s="789">
        <f>F75</f>
        <v>0</v>
      </c>
      <c r="G79" s="159"/>
    </row>
    <row r="80" spans="1:198" s="154" customFormat="1" ht="15.5">
      <c r="A80" s="800" t="s">
        <v>34</v>
      </c>
      <c r="B80" s="708" t="s">
        <v>395</v>
      </c>
      <c r="C80" s="648" t="s">
        <v>34</v>
      </c>
      <c r="D80" s="617" t="s">
        <v>34</v>
      </c>
      <c r="E80" s="618"/>
      <c r="F80" s="612"/>
      <c r="G80" s="166"/>
    </row>
    <row r="81" spans="1:198" s="154" customFormat="1" ht="30.75" customHeight="1">
      <c r="A81" s="800" t="s">
        <v>1631</v>
      </c>
      <c r="B81" s="704" t="s">
        <v>396</v>
      </c>
      <c r="C81" s="606" t="s">
        <v>50</v>
      </c>
      <c r="D81" s="606">
        <f>D74</f>
        <v>43</v>
      </c>
      <c r="E81" s="586"/>
      <c r="F81" s="612">
        <f t="shared" si="5"/>
        <v>0</v>
      </c>
      <c r="G81" s="166"/>
    </row>
    <row r="82" spans="1:198" s="154" customFormat="1" ht="15.5">
      <c r="A82" s="702" t="s">
        <v>34</v>
      </c>
      <c r="B82" s="708" t="s">
        <v>498</v>
      </c>
      <c r="C82" s="606" t="s">
        <v>34</v>
      </c>
      <c r="D82" s="606" t="s">
        <v>34</v>
      </c>
      <c r="E82" s="586"/>
      <c r="F82" s="612"/>
      <c r="G82" s="166"/>
    </row>
    <row r="83" spans="1:198" s="154" customFormat="1" ht="31">
      <c r="A83" s="702" t="s">
        <v>1632</v>
      </c>
      <c r="B83" s="704" t="s">
        <v>398</v>
      </c>
      <c r="C83" s="606" t="s">
        <v>50</v>
      </c>
      <c r="D83" s="606">
        <v>12</v>
      </c>
      <c r="E83" s="586"/>
      <c r="F83" s="612">
        <f t="shared" si="5"/>
        <v>0</v>
      </c>
      <c r="G83" s="166"/>
    </row>
    <row r="84" spans="1:198" s="154" customFormat="1" ht="16.5" customHeight="1">
      <c r="A84" s="702" t="s">
        <v>1632</v>
      </c>
      <c r="B84" s="704" t="s">
        <v>399</v>
      </c>
      <c r="C84" s="606" t="s">
        <v>387</v>
      </c>
      <c r="D84" s="606">
        <v>4</v>
      </c>
      <c r="E84" s="586"/>
      <c r="F84" s="612">
        <f t="shared" si="5"/>
        <v>0</v>
      </c>
      <c r="G84" s="166"/>
    </row>
    <row r="85" spans="1:198" s="154" customFormat="1" ht="15" customHeight="1">
      <c r="A85" s="702" t="s">
        <v>1536</v>
      </c>
      <c r="B85" s="704" t="s">
        <v>400</v>
      </c>
      <c r="C85" s="617" t="s">
        <v>387</v>
      </c>
      <c r="D85" s="617">
        <f>D84</f>
        <v>4</v>
      </c>
      <c r="E85" s="618"/>
      <c r="F85" s="612">
        <f t="shared" si="5"/>
        <v>0</v>
      </c>
      <c r="G85" s="166"/>
    </row>
    <row r="86" spans="1:198" s="154" customFormat="1" ht="30" customHeight="1">
      <c r="A86" s="702" t="s">
        <v>1633</v>
      </c>
      <c r="B86" s="704" t="s">
        <v>401</v>
      </c>
      <c r="C86" s="617" t="s">
        <v>34</v>
      </c>
      <c r="D86" s="617" t="s">
        <v>34</v>
      </c>
      <c r="E86" s="618"/>
      <c r="F86" s="612"/>
      <c r="G86" s="166"/>
    </row>
    <row r="87" spans="1:198" s="154" customFormat="1" ht="18.75" customHeight="1">
      <c r="A87" s="702" t="s">
        <v>1634</v>
      </c>
      <c r="B87" s="704" t="s">
        <v>403</v>
      </c>
      <c r="C87" s="648" t="s">
        <v>50</v>
      </c>
      <c r="D87" s="617">
        <f>D81</f>
        <v>43</v>
      </c>
      <c r="E87" s="618"/>
      <c r="F87" s="612">
        <f t="shared" si="5"/>
        <v>0</v>
      </c>
      <c r="G87" s="166"/>
    </row>
    <row r="88" spans="1:198" s="154" customFormat="1" ht="20.25" customHeight="1">
      <c r="A88" s="702" t="s">
        <v>1635</v>
      </c>
      <c r="B88" s="704" t="s">
        <v>404</v>
      </c>
      <c r="C88" s="606" t="s">
        <v>50</v>
      </c>
      <c r="D88" s="606">
        <f>D87</f>
        <v>43</v>
      </c>
      <c r="E88" s="586"/>
      <c r="F88" s="612">
        <f t="shared" si="5"/>
        <v>0</v>
      </c>
      <c r="G88" s="166"/>
    </row>
    <row r="89" spans="1:198" s="155" customFormat="1" ht="20.25" customHeight="1">
      <c r="A89" s="710"/>
      <c r="B89" s="703" t="s">
        <v>1239</v>
      </c>
      <c r="C89" s="613"/>
      <c r="D89" s="613"/>
      <c r="E89" s="602"/>
      <c r="F89" s="605">
        <f>SUM(F79:F88)</f>
        <v>0</v>
      </c>
      <c r="G89" s="167"/>
    </row>
    <row r="90" spans="1:198" s="154" customFormat="1" ht="18.649999999999999" customHeight="1">
      <c r="A90" s="711"/>
      <c r="B90" s="708"/>
      <c r="C90" s="606"/>
      <c r="D90" s="606"/>
      <c r="E90" s="586"/>
      <c r="F90" s="612">
        <f t="shared" si="5"/>
        <v>0</v>
      </c>
      <c r="G90" s="166"/>
    </row>
    <row r="91" spans="1:198" s="154" customFormat="1" ht="15.5">
      <c r="A91" s="712">
        <v>8.5</v>
      </c>
      <c r="B91" s="698" t="s">
        <v>1168</v>
      </c>
      <c r="C91" s="606"/>
      <c r="D91" s="606"/>
      <c r="E91" s="586"/>
      <c r="F91" s="612">
        <f t="shared" si="5"/>
        <v>0</v>
      </c>
      <c r="G91" s="166"/>
    </row>
    <row r="92" spans="1:198" s="152" customFormat="1" ht="31">
      <c r="A92" s="713" t="s">
        <v>1622</v>
      </c>
      <c r="B92" s="704" t="s">
        <v>1083</v>
      </c>
      <c r="C92" s="606" t="s">
        <v>387</v>
      </c>
      <c r="D92" s="606">
        <v>1</v>
      </c>
      <c r="E92" s="586"/>
      <c r="F92" s="612">
        <f t="shared" si="5"/>
        <v>0</v>
      </c>
      <c r="G92" s="164"/>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1"/>
      <c r="BQ92" s="151"/>
      <c r="BR92" s="151"/>
      <c r="BS92" s="151"/>
      <c r="BT92" s="151"/>
      <c r="BU92" s="151"/>
      <c r="BV92" s="151"/>
      <c r="BW92" s="151"/>
      <c r="BX92" s="151"/>
      <c r="BY92" s="151"/>
      <c r="BZ92" s="151"/>
      <c r="CA92" s="151"/>
      <c r="CB92" s="151"/>
      <c r="CC92" s="151"/>
      <c r="CD92" s="151"/>
      <c r="CE92" s="151"/>
      <c r="CF92" s="151"/>
      <c r="CG92" s="151"/>
      <c r="CH92" s="151"/>
      <c r="CI92" s="151"/>
      <c r="CJ92" s="151"/>
      <c r="CK92" s="151"/>
      <c r="CL92" s="151"/>
      <c r="CM92" s="151"/>
      <c r="CN92" s="151"/>
      <c r="CO92" s="151"/>
      <c r="CP92" s="151"/>
      <c r="CQ92" s="151"/>
      <c r="CR92" s="151"/>
      <c r="CS92" s="151"/>
      <c r="CT92" s="151"/>
      <c r="CU92" s="151"/>
      <c r="CV92" s="151"/>
      <c r="CW92" s="151"/>
      <c r="CX92" s="151"/>
      <c r="CY92" s="151"/>
      <c r="CZ92" s="151"/>
      <c r="DA92" s="151"/>
      <c r="DB92" s="151"/>
      <c r="DC92" s="151"/>
      <c r="DD92" s="151"/>
      <c r="DE92" s="151"/>
      <c r="DF92" s="151"/>
      <c r="DG92" s="151"/>
      <c r="DH92" s="151"/>
      <c r="DI92" s="151"/>
      <c r="DJ92" s="151"/>
      <c r="DK92" s="151"/>
      <c r="DL92" s="151"/>
      <c r="DM92" s="151"/>
      <c r="DN92" s="151"/>
      <c r="DO92" s="151"/>
      <c r="DP92" s="151"/>
      <c r="DQ92" s="151"/>
      <c r="DR92" s="151"/>
      <c r="DS92" s="151"/>
      <c r="DT92" s="151"/>
      <c r="DU92" s="151"/>
      <c r="DV92" s="151"/>
      <c r="DW92" s="151"/>
      <c r="DX92" s="151"/>
      <c r="DY92" s="151"/>
      <c r="DZ92" s="151"/>
      <c r="EA92" s="151"/>
      <c r="EB92" s="151"/>
      <c r="EC92" s="151"/>
      <c r="ED92" s="151"/>
      <c r="EE92" s="151"/>
      <c r="EF92" s="151"/>
      <c r="EG92" s="151"/>
      <c r="EH92" s="151"/>
      <c r="EI92" s="151"/>
      <c r="EJ92" s="151"/>
      <c r="EK92" s="151"/>
      <c r="EL92" s="151"/>
      <c r="EM92" s="151"/>
      <c r="EN92" s="151"/>
      <c r="EO92" s="151"/>
      <c r="EP92" s="151"/>
      <c r="EQ92" s="151"/>
      <c r="ER92" s="151"/>
      <c r="ES92" s="151"/>
      <c r="ET92" s="151"/>
      <c r="EU92" s="151"/>
      <c r="EV92" s="151"/>
      <c r="EW92" s="151"/>
      <c r="EX92" s="151"/>
      <c r="EY92" s="151"/>
      <c r="EZ92" s="151"/>
      <c r="FA92" s="151"/>
      <c r="FB92" s="151"/>
      <c r="FC92" s="151"/>
      <c r="FD92" s="151"/>
      <c r="FE92" s="151"/>
      <c r="FF92" s="151"/>
      <c r="FG92" s="151"/>
      <c r="FH92" s="151"/>
      <c r="FI92" s="151"/>
      <c r="FJ92" s="151"/>
      <c r="FK92" s="151"/>
      <c r="FL92" s="151"/>
      <c r="FM92" s="151"/>
      <c r="FN92" s="151"/>
      <c r="FO92" s="151"/>
      <c r="FP92" s="151"/>
      <c r="FQ92" s="151"/>
      <c r="FR92" s="151"/>
      <c r="FS92" s="151"/>
      <c r="FT92" s="151"/>
      <c r="FU92" s="151"/>
      <c r="FV92" s="151"/>
      <c r="FW92" s="151"/>
      <c r="FX92" s="151"/>
      <c r="FY92" s="151"/>
      <c r="FZ92" s="151"/>
      <c r="GA92" s="151"/>
      <c r="GB92" s="151"/>
      <c r="GC92" s="151"/>
      <c r="GD92" s="151"/>
      <c r="GE92" s="151"/>
      <c r="GF92" s="151"/>
      <c r="GG92" s="151"/>
      <c r="GH92" s="151"/>
      <c r="GI92" s="151"/>
      <c r="GJ92" s="151"/>
      <c r="GK92" s="151"/>
      <c r="GL92" s="151"/>
      <c r="GM92" s="151"/>
      <c r="GN92" s="151"/>
      <c r="GO92" s="151"/>
      <c r="GP92" s="151"/>
    </row>
    <row r="93" spans="1:198" s="152" customFormat="1" ht="31">
      <c r="A93" s="713"/>
      <c r="B93" s="704" t="s">
        <v>499</v>
      </c>
      <c r="C93" s="606" t="s">
        <v>5</v>
      </c>
      <c r="D93" s="606">
        <v>2</v>
      </c>
      <c r="E93" s="586"/>
      <c r="F93" s="612">
        <f t="shared" si="5"/>
        <v>0</v>
      </c>
      <c r="G93" s="164"/>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1"/>
      <c r="BN93" s="151"/>
      <c r="BO93" s="151"/>
      <c r="BP93" s="151"/>
      <c r="BQ93" s="151"/>
      <c r="BR93" s="151"/>
      <c r="BS93" s="151"/>
      <c r="BT93" s="151"/>
      <c r="BU93" s="151"/>
      <c r="BV93" s="151"/>
      <c r="BW93" s="151"/>
      <c r="BX93" s="151"/>
      <c r="BY93" s="151"/>
      <c r="BZ93" s="151"/>
      <c r="CA93" s="151"/>
      <c r="CB93" s="151"/>
      <c r="CC93" s="151"/>
      <c r="CD93" s="151"/>
      <c r="CE93" s="151"/>
      <c r="CF93" s="151"/>
      <c r="CG93" s="151"/>
      <c r="CH93" s="151"/>
      <c r="CI93" s="151"/>
      <c r="CJ93" s="151"/>
      <c r="CK93" s="151"/>
      <c r="CL93" s="151"/>
      <c r="CM93" s="151"/>
      <c r="CN93" s="151"/>
      <c r="CO93" s="151"/>
      <c r="CP93" s="151"/>
      <c r="CQ93" s="151"/>
      <c r="CR93" s="151"/>
      <c r="CS93" s="151"/>
      <c r="CT93" s="151"/>
      <c r="CU93" s="151"/>
      <c r="CV93" s="151"/>
      <c r="CW93" s="151"/>
      <c r="CX93" s="151"/>
      <c r="CY93" s="151"/>
      <c r="CZ93" s="151"/>
      <c r="DA93" s="151"/>
      <c r="DB93" s="151"/>
      <c r="DC93" s="151"/>
      <c r="DD93" s="151"/>
      <c r="DE93" s="151"/>
      <c r="DF93" s="151"/>
      <c r="DG93" s="151"/>
      <c r="DH93" s="151"/>
      <c r="DI93" s="151"/>
      <c r="DJ93" s="151"/>
      <c r="DK93" s="151"/>
      <c r="DL93" s="151"/>
      <c r="DM93" s="151"/>
      <c r="DN93" s="151"/>
      <c r="DO93" s="151"/>
      <c r="DP93" s="151"/>
      <c r="DQ93" s="151"/>
      <c r="DR93" s="151"/>
      <c r="DS93" s="151"/>
      <c r="DT93" s="151"/>
      <c r="DU93" s="151"/>
      <c r="DV93" s="151"/>
      <c r="DW93" s="151"/>
      <c r="DX93" s="151"/>
      <c r="DY93" s="151"/>
      <c r="DZ93" s="151"/>
      <c r="EA93" s="151"/>
      <c r="EB93" s="151"/>
      <c r="EC93" s="151"/>
      <c r="ED93" s="151"/>
      <c r="EE93" s="151"/>
      <c r="EF93" s="151"/>
      <c r="EG93" s="151"/>
      <c r="EH93" s="151"/>
      <c r="EI93" s="151"/>
      <c r="EJ93" s="151"/>
      <c r="EK93" s="151"/>
      <c r="EL93" s="151"/>
      <c r="EM93" s="151"/>
      <c r="EN93" s="151"/>
      <c r="EO93" s="151"/>
      <c r="EP93" s="151"/>
      <c r="EQ93" s="151"/>
      <c r="ER93" s="151"/>
      <c r="ES93" s="151"/>
      <c r="ET93" s="151"/>
      <c r="EU93" s="151"/>
      <c r="EV93" s="151"/>
      <c r="EW93" s="151"/>
      <c r="EX93" s="151"/>
      <c r="EY93" s="151"/>
      <c r="EZ93" s="151"/>
      <c r="FA93" s="151"/>
      <c r="FB93" s="151"/>
      <c r="FC93" s="151"/>
      <c r="FD93" s="151"/>
      <c r="FE93" s="151"/>
      <c r="FF93" s="151"/>
      <c r="FG93" s="151"/>
      <c r="FH93" s="151"/>
      <c r="FI93" s="151"/>
      <c r="FJ93" s="151"/>
      <c r="FK93" s="151"/>
      <c r="FL93" s="151"/>
      <c r="FM93" s="151"/>
      <c r="FN93" s="151"/>
      <c r="FO93" s="151"/>
      <c r="FP93" s="151"/>
      <c r="FQ93" s="151"/>
      <c r="FR93" s="151"/>
      <c r="FS93" s="151"/>
      <c r="FT93" s="151"/>
      <c r="FU93" s="151"/>
      <c r="FV93" s="151"/>
      <c r="FW93" s="151"/>
      <c r="FX93" s="151"/>
      <c r="FY93" s="151"/>
      <c r="FZ93" s="151"/>
      <c r="GA93" s="151"/>
      <c r="GB93" s="151"/>
      <c r="GC93" s="151"/>
      <c r="GD93" s="151"/>
      <c r="GE93" s="151"/>
      <c r="GF93" s="151"/>
      <c r="GG93" s="151"/>
      <c r="GH93" s="151"/>
      <c r="GI93" s="151"/>
      <c r="GJ93" s="151"/>
      <c r="GK93" s="151"/>
      <c r="GL93" s="151"/>
      <c r="GM93" s="151"/>
      <c r="GN93" s="151"/>
      <c r="GO93" s="151"/>
      <c r="GP93" s="151"/>
    </row>
    <row r="94" spans="1:198" s="154" customFormat="1" ht="29.4" customHeight="1">
      <c r="A94" s="713" t="s">
        <v>1636</v>
      </c>
      <c r="B94" s="704" t="s">
        <v>500</v>
      </c>
      <c r="C94" s="617" t="s">
        <v>50</v>
      </c>
      <c r="D94" s="617">
        <v>20</v>
      </c>
      <c r="E94" s="618"/>
      <c r="F94" s="612">
        <f t="shared" si="5"/>
        <v>0</v>
      </c>
      <c r="G94" s="166"/>
    </row>
    <row r="95" spans="1:198" s="154" customFormat="1" ht="19.5" customHeight="1">
      <c r="A95" s="713" t="s">
        <v>1637</v>
      </c>
      <c r="B95" s="704" t="s">
        <v>501</v>
      </c>
      <c r="C95" s="617" t="s">
        <v>50</v>
      </c>
      <c r="D95" s="617">
        <f>D94*2</f>
        <v>40</v>
      </c>
      <c r="E95" s="618"/>
      <c r="F95" s="612">
        <f t="shared" si="5"/>
        <v>0</v>
      </c>
      <c r="G95" s="166"/>
    </row>
    <row r="96" spans="1:198" s="154" customFormat="1" ht="15.5">
      <c r="A96" s="713" t="s">
        <v>1638</v>
      </c>
      <c r="B96" s="704" t="s">
        <v>502</v>
      </c>
      <c r="C96" s="648" t="s">
        <v>50</v>
      </c>
      <c r="D96" s="617">
        <f>D95</f>
        <v>40</v>
      </c>
      <c r="E96" s="618"/>
      <c r="F96" s="612">
        <f t="shared" si="5"/>
        <v>0</v>
      </c>
      <c r="G96" s="166"/>
    </row>
    <row r="97" spans="1:198" s="154" customFormat="1" ht="15.5">
      <c r="A97" s="713" t="s">
        <v>34</v>
      </c>
      <c r="B97" s="708" t="s">
        <v>503</v>
      </c>
      <c r="C97" s="606" t="s">
        <v>34</v>
      </c>
      <c r="D97" s="606" t="s">
        <v>34</v>
      </c>
      <c r="E97" s="586"/>
      <c r="F97" s="612"/>
      <c r="G97" s="166"/>
    </row>
    <row r="98" spans="1:198" s="154" customFormat="1" ht="31">
      <c r="A98" s="713" t="s">
        <v>1638</v>
      </c>
      <c r="B98" s="704" t="s">
        <v>504</v>
      </c>
      <c r="C98" s="606" t="s">
        <v>34</v>
      </c>
      <c r="D98" s="606" t="s">
        <v>34</v>
      </c>
      <c r="E98" s="586"/>
      <c r="F98" s="612"/>
      <c r="G98" s="166"/>
    </row>
    <row r="99" spans="1:198" s="154" customFormat="1" ht="18.75" customHeight="1">
      <c r="A99" s="713" t="s">
        <v>1639</v>
      </c>
      <c r="B99" s="704" t="s">
        <v>505</v>
      </c>
      <c r="C99" s="606" t="s">
        <v>387</v>
      </c>
      <c r="D99" s="606">
        <v>3</v>
      </c>
      <c r="E99" s="586"/>
      <c r="F99" s="612">
        <f t="shared" si="5"/>
        <v>0</v>
      </c>
      <c r="G99" s="166"/>
    </row>
    <row r="100" spans="1:198" s="154" customFormat="1" ht="15.5">
      <c r="A100" s="713" t="s">
        <v>1640</v>
      </c>
      <c r="B100" s="704" t="s">
        <v>506</v>
      </c>
      <c r="C100" s="606" t="s">
        <v>507</v>
      </c>
      <c r="D100" s="606">
        <f>4*1.5</f>
        <v>6</v>
      </c>
      <c r="E100" s="586"/>
      <c r="F100" s="612">
        <f t="shared" si="5"/>
        <v>0</v>
      </c>
      <c r="G100" s="166"/>
    </row>
    <row r="101" spans="1:198" s="154" customFormat="1" ht="15.5">
      <c r="A101" s="713" t="s">
        <v>1641</v>
      </c>
      <c r="B101" s="704" t="s">
        <v>508</v>
      </c>
      <c r="C101" s="617" t="s">
        <v>387</v>
      </c>
      <c r="D101" s="617">
        <v>4</v>
      </c>
      <c r="E101" s="618"/>
      <c r="F101" s="612">
        <f t="shared" si="5"/>
        <v>0</v>
      </c>
      <c r="G101" s="166"/>
    </row>
    <row r="102" spans="1:198" s="154" customFormat="1" ht="15.5">
      <c r="A102" s="713" t="s">
        <v>34</v>
      </c>
      <c r="B102" s="708" t="s">
        <v>509</v>
      </c>
      <c r="C102" s="617" t="s">
        <v>34</v>
      </c>
      <c r="D102" s="617" t="s">
        <v>34</v>
      </c>
      <c r="E102" s="618"/>
      <c r="F102" s="612"/>
      <c r="G102" s="166"/>
    </row>
    <row r="103" spans="1:198" s="154" customFormat="1" ht="31">
      <c r="A103" s="713" t="s">
        <v>1642</v>
      </c>
      <c r="B103" s="704" t="s">
        <v>510</v>
      </c>
      <c r="C103" s="648" t="s">
        <v>146</v>
      </c>
      <c r="D103" s="617" t="s">
        <v>439</v>
      </c>
      <c r="E103" s="618"/>
      <c r="F103" s="612">
        <f>E103</f>
        <v>0</v>
      </c>
      <c r="G103" s="166"/>
    </row>
    <row r="104" spans="1:198" s="155" customFormat="1" ht="15.5">
      <c r="A104" s="714"/>
      <c r="B104" s="703" t="s">
        <v>1240</v>
      </c>
      <c r="C104" s="639"/>
      <c r="D104" s="715"/>
      <c r="E104" s="688"/>
      <c r="F104" s="605">
        <f>SUM(F92:F103)</f>
        <v>0</v>
      </c>
      <c r="G104" s="167"/>
    </row>
    <row r="105" spans="1:198" s="154" customFormat="1" ht="15.5">
      <c r="A105" s="693">
        <v>8.6</v>
      </c>
      <c r="B105" s="698" t="s">
        <v>1177</v>
      </c>
      <c r="C105" s="606"/>
      <c r="D105" s="606"/>
      <c r="E105" s="586"/>
      <c r="F105" s="612"/>
      <c r="G105" s="166"/>
    </row>
    <row r="106" spans="1:198" s="150" customFormat="1" ht="31.5" customHeight="1">
      <c r="A106" s="706" t="s">
        <v>1643</v>
      </c>
      <c r="B106" s="707" t="s">
        <v>511</v>
      </c>
      <c r="C106" s="606" t="s">
        <v>12</v>
      </c>
      <c r="D106" s="606">
        <v>8</v>
      </c>
      <c r="E106" s="586"/>
      <c r="F106" s="612">
        <f t="shared" si="5"/>
        <v>0</v>
      </c>
      <c r="G106" s="165"/>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153"/>
      <c r="BX106" s="153"/>
      <c r="BY106" s="153"/>
      <c r="BZ106" s="153"/>
      <c r="CA106" s="153"/>
      <c r="CB106" s="153"/>
      <c r="CC106" s="153"/>
      <c r="CD106" s="153"/>
      <c r="CE106" s="153"/>
      <c r="CF106" s="153"/>
      <c r="CG106" s="153"/>
      <c r="CH106" s="153"/>
      <c r="CI106" s="153"/>
      <c r="CJ106" s="153"/>
      <c r="CK106" s="153"/>
      <c r="CL106" s="153"/>
      <c r="CM106" s="153"/>
      <c r="CN106" s="153"/>
      <c r="CO106" s="153"/>
      <c r="CP106" s="153"/>
      <c r="CQ106" s="153"/>
      <c r="CR106" s="153"/>
      <c r="CS106" s="153"/>
      <c r="CT106" s="153"/>
      <c r="CU106" s="153"/>
      <c r="CV106" s="153"/>
      <c r="CW106" s="153"/>
      <c r="CX106" s="153"/>
      <c r="CY106" s="153"/>
      <c r="CZ106" s="153"/>
      <c r="DA106" s="153"/>
      <c r="DB106" s="153"/>
      <c r="DC106" s="153"/>
      <c r="DD106" s="153"/>
      <c r="DE106" s="153"/>
      <c r="DF106" s="153"/>
      <c r="DG106" s="153"/>
      <c r="DH106" s="153"/>
      <c r="DI106" s="153"/>
      <c r="DJ106" s="153"/>
      <c r="DK106" s="153"/>
      <c r="DL106" s="153"/>
      <c r="DM106" s="153"/>
      <c r="DN106" s="153"/>
      <c r="DO106" s="153"/>
      <c r="DP106" s="153"/>
      <c r="DQ106" s="153"/>
      <c r="DR106" s="153"/>
      <c r="DS106" s="153"/>
      <c r="DT106" s="153"/>
      <c r="DU106" s="153"/>
      <c r="DV106" s="153"/>
      <c r="DW106" s="153"/>
      <c r="DX106" s="153"/>
      <c r="DY106" s="153"/>
      <c r="DZ106" s="153"/>
      <c r="EA106" s="153"/>
      <c r="EB106" s="153"/>
      <c r="EC106" s="153"/>
      <c r="ED106" s="153"/>
      <c r="EE106" s="153"/>
      <c r="EF106" s="153"/>
      <c r="EG106" s="153"/>
      <c r="EH106" s="153"/>
      <c r="EI106" s="153"/>
      <c r="EJ106" s="153"/>
      <c r="EK106" s="153"/>
      <c r="EL106" s="153"/>
      <c r="EM106" s="153"/>
      <c r="EN106" s="153"/>
      <c r="EO106" s="153"/>
      <c r="EP106" s="153"/>
      <c r="EQ106" s="153"/>
      <c r="ER106" s="153"/>
      <c r="ES106" s="153"/>
      <c r="ET106" s="153"/>
      <c r="EU106" s="153"/>
      <c r="EV106" s="153"/>
      <c r="EW106" s="153"/>
      <c r="EX106" s="153"/>
      <c r="EY106" s="153"/>
      <c r="EZ106" s="153"/>
      <c r="FA106" s="153"/>
      <c r="FB106" s="153"/>
      <c r="FC106" s="153"/>
      <c r="FD106" s="153"/>
      <c r="FE106" s="153"/>
      <c r="FF106" s="153"/>
      <c r="FG106" s="153"/>
      <c r="FH106" s="153"/>
      <c r="FI106" s="153"/>
      <c r="FJ106" s="153"/>
      <c r="FK106" s="153"/>
      <c r="FL106" s="153"/>
      <c r="FM106" s="153"/>
      <c r="FN106" s="153"/>
      <c r="FO106" s="153"/>
      <c r="FP106" s="153"/>
      <c r="FQ106" s="153"/>
      <c r="FR106" s="153"/>
      <c r="FS106" s="153"/>
      <c r="FT106" s="153"/>
      <c r="FU106" s="153"/>
      <c r="FV106" s="153"/>
      <c r="FW106" s="153"/>
      <c r="FX106" s="153"/>
      <c r="FY106" s="153"/>
      <c r="FZ106" s="153"/>
      <c r="GA106" s="153"/>
      <c r="GB106" s="153"/>
      <c r="GC106" s="153"/>
      <c r="GD106" s="153"/>
      <c r="GE106" s="153"/>
      <c r="GF106" s="153"/>
      <c r="GG106" s="153"/>
      <c r="GH106" s="153"/>
      <c r="GI106" s="153"/>
      <c r="GJ106" s="153"/>
      <c r="GK106" s="153"/>
      <c r="GL106" s="153"/>
      <c r="GM106" s="153"/>
      <c r="GN106" s="153"/>
      <c r="GO106" s="153"/>
      <c r="GP106" s="153"/>
    </row>
    <row r="107" spans="1:198" s="150" customFormat="1" ht="15.5">
      <c r="A107" s="706"/>
      <c r="B107" s="707"/>
      <c r="C107" s="606"/>
      <c r="D107" s="606"/>
      <c r="E107" s="586"/>
      <c r="F107" s="612"/>
      <c r="G107" s="165"/>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153"/>
      <c r="BY107" s="153"/>
      <c r="BZ107" s="153"/>
      <c r="CA107" s="153"/>
      <c r="CB107" s="153"/>
      <c r="CC107" s="153"/>
      <c r="CD107" s="153"/>
      <c r="CE107" s="153"/>
      <c r="CF107" s="153"/>
      <c r="CG107" s="153"/>
      <c r="CH107" s="153"/>
      <c r="CI107" s="153"/>
      <c r="CJ107" s="153"/>
      <c r="CK107" s="153"/>
      <c r="CL107" s="153"/>
      <c r="CM107" s="153"/>
      <c r="CN107" s="153"/>
      <c r="CO107" s="153"/>
      <c r="CP107" s="153"/>
      <c r="CQ107" s="153"/>
      <c r="CR107" s="153"/>
      <c r="CS107" s="153"/>
      <c r="CT107" s="153"/>
      <c r="CU107" s="153"/>
      <c r="CV107" s="153"/>
      <c r="CW107" s="153"/>
      <c r="CX107" s="153"/>
      <c r="CY107" s="153"/>
      <c r="CZ107" s="153"/>
      <c r="DA107" s="153"/>
      <c r="DB107" s="153"/>
      <c r="DC107" s="153"/>
      <c r="DD107" s="153"/>
      <c r="DE107" s="153"/>
      <c r="DF107" s="153"/>
      <c r="DG107" s="153"/>
      <c r="DH107" s="153"/>
      <c r="DI107" s="153"/>
      <c r="DJ107" s="153"/>
      <c r="DK107" s="153"/>
      <c r="DL107" s="153"/>
      <c r="DM107" s="153"/>
      <c r="DN107" s="153"/>
      <c r="DO107" s="153"/>
      <c r="DP107" s="153"/>
      <c r="DQ107" s="153"/>
      <c r="DR107" s="153"/>
      <c r="DS107" s="153"/>
      <c r="DT107" s="153"/>
      <c r="DU107" s="153"/>
      <c r="DV107" s="153"/>
      <c r="DW107" s="153"/>
      <c r="DX107" s="153"/>
      <c r="DY107" s="153"/>
      <c r="DZ107" s="153"/>
      <c r="EA107" s="153"/>
      <c r="EB107" s="153"/>
      <c r="EC107" s="153"/>
      <c r="ED107" s="153"/>
      <c r="EE107" s="153"/>
      <c r="EF107" s="153"/>
      <c r="EG107" s="153"/>
      <c r="EH107" s="153"/>
      <c r="EI107" s="153"/>
      <c r="EJ107" s="153"/>
      <c r="EK107" s="153"/>
      <c r="EL107" s="153"/>
      <c r="EM107" s="153"/>
      <c r="EN107" s="153"/>
      <c r="EO107" s="153"/>
      <c r="EP107" s="153"/>
      <c r="EQ107" s="153"/>
      <c r="ER107" s="153"/>
      <c r="ES107" s="153"/>
      <c r="ET107" s="153"/>
      <c r="EU107" s="153"/>
      <c r="EV107" s="153"/>
      <c r="EW107" s="153"/>
      <c r="EX107" s="153"/>
      <c r="EY107" s="153"/>
      <c r="EZ107" s="153"/>
      <c r="FA107" s="153"/>
      <c r="FB107" s="153"/>
      <c r="FC107" s="153"/>
      <c r="FD107" s="153"/>
      <c r="FE107" s="153"/>
      <c r="FF107" s="153"/>
      <c r="FG107" s="153"/>
      <c r="FH107" s="153"/>
      <c r="FI107" s="153"/>
      <c r="FJ107" s="153"/>
      <c r="FK107" s="153"/>
      <c r="FL107" s="153"/>
      <c r="FM107" s="153"/>
      <c r="FN107" s="153"/>
      <c r="FO107" s="153"/>
      <c r="FP107" s="153"/>
      <c r="FQ107" s="153"/>
      <c r="FR107" s="153"/>
      <c r="FS107" s="153"/>
      <c r="FT107" s="153"/>
      <c r="FU107" s="153"/>
      <c r="FV107" s="153"/>
      <c r="FW107" s="153"/>
      <c r="FX107" s="153"/>
      <c r="FY107" s="153"/>
      <c r="FZ107" s="153"/>
      <c r="GA107" s="153"/>
      <c r="GB107" s="153"/>
      <c r="GC107" s="153"/>
      <c r="GD107" s="153"/>
      <c r="GE107" s="153"/>
      <c r="GF107" s="153"/>
      <c r="GG107" s="153"/>
      <c r="GH107" s="153"/>
      <c r="GI107" s="153"/>
      <c r="GJ107" s="153"/>
      <c r="GK107" s="153"/>
      <c r="GL107" s="153"/>
      <c r="GM107" s="153"/>
      <c r="GN107" s="153"/>
      <c r="GO107" s="153"/>
      <c r="GP107" s="153"/>
    </row>
    <row r="108" spans="1:198" s="150" customFormat="1" ht="15.5">
      <c r="A108" s="1124"/>
      <c r="B108" s="1125"/>
      <c r="C108" s="1080"/>
      <c r="D108" s="1080"/>
      <c r="E108" s="1081"/>
      <c r="F108" s="1082"/>
      <c r="G108" s="165"/>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c r="BI108" s="153"/>
      <c r="BJ108" s="153"/>
      <c r="BK108" s="153"/>
      <c r="BL108" s="153"/>
      <c r="BM108" s="153"/>
      <c r="BN108" s="153"/>
      <c r="BO108" s="153"/>
      <c r="BP108" s="153"/>
      <c r="BQ108" s="153"/>
      <c r="BR108" s="153"/>
      <c r="BS108" s="153"/>
      <c r="BT108" s="153"/>
      <c r="BU108" s="153"/>
      <c r="BV108" s="153"/>
      <c r="BW108" s="153"/>
      <c r="BX108" s="153"/>
      <c r="BY108" s="153"/>
      <c r="BZ108" s="153"/>
      <c r="CA108" s="153"/>
      <c r="CB108" s="153"/>
      <c r="CC108" s="153"/>
      <c r="CD108" s="153"/>
      <c r="CE108" s="153"/>
      <c r="CF108" s="153"/>
      <c r="CG108" s="153"/>
      <c r="CH108" s="153"/>
      <c r="CI108" s="153"/>
      <c r="CJ108" s="153"/>
      <c r="CK108" s="153"/>
      <c r="CL108" s="153"/>
      <c r="CM108" s="153"/>
      <c r="CN108" s="153"/>
      <c r="CO108" s="153"/>
      <c r="CP108" s="153"/>
      <c r="CQ108" s="153"/>
      <c r="CR108" s="153"/>
      <c r="CS108" s="153"/>
      <c r="CT108" s="153"/>
      <c r="CU108" s="153"/>
      <c r="CV108" s="153"/>
      <c r="CW108" s="153"/>
      <c r="CX108" s="153"/>
      <c r="CY108" s="153"/>
      <c r="CZ108" s="153"/>
      <c r="DA108" s="153"/>
      <c r="DB108" s="153"/>
      <c r="DC108" s="153"/>
      <c r="DD108" s="153"/>
      <c r="DE108" s="153"/>
      <c r="DF108" s="153"/>
      <c r="DG108" s="153"/>
      <c r="DH108" s="153"/>
      <c r="DI108" s="153"/>
      <c r="DJ108" s="153"/>
      <c r="DK108" s="153"/>
      <c r="DL108" s="153"/>
      <c r="DM108" s="153"/>
      <c r="DN108" s="153"/>
      <c r="DO108" s="153"/>
      <c r="DP108" s="153"/>
      <c r="DQ108" s="153"/>
      <c r="DR108" s="153"/>
      <c r="DS108" s="153"/>
      <c r="DT108" s="153"/>
      <c r="DU108" s="153"/>
      <c r="DV108" s="153"/>
      <c r="DW108" s="153"/>
      <c r="DX108" s="153"/>
      <c r="DY108" s="153"/>
      <c r="DZ108" s="153"/>
      <c r="EA108" s="153"/>
      <c r="EB108" s="153"/>
      <c r="EC108" s="153"/>
      <c r="ED108" s="153"/>
      <c r="EE108" s="153"/>
      <c r="EF108" s="153"/>
      <c r="EG108" s="153"/>
      <c r="EH108" s="153"/>
      <c r="EI108" s="153"/>
      <c r="EJ108" s="153"/>
      <c r="EK108" s="153"/>
      <c r="EL108" s="153"/>
      <c r="EM108" s="153"/>
      <c r="EN108" s="153"/>
      <c r="EO108" s="153"/>
      <c r="EP108" s="153"/>
      <c r="EQ108" s="153"/>
      <c r="ER108" s="153"/>
      <c r="ES108" s="153"/>
      <c r="ET108" s="153"/>
      <c r="EU108" s="153"/>
      <c r="EV108" s="153"/>
      <c r="EW108" s="153"/>
      <c r="EX108" s="153"/>
      <c r="EY108" s="153"/>
      <c r="EZ108" s="153"/>
      <c r="FA108" s="153"/>
      <c r="FB108" s="153"/>
      <c r="FC108" s="153"/>
      <c r="FD108" s="153"/>
      <c r="FE108" s="153"/>
      <c r="FF108" s="153"/>
      <c r="FG108" s="153"/>
      <c r="FH108" s="153"/>
      <c r="FI108" s="153"/>
      <c r="FJ108" s="153"/>
      <c r="FK108" s="153"/>
      <c r="FL108" s="153"/>
      <c r="FM108" s="153"/>
      <c r="FN108" s="153"/>
      <c r="FO108" s="153"/>
      <c r="FP108" s="153"/>
      <c r="FQ108" s="153"/>
      <c r="FR108" s="153"/>
      <c r="FS108" s="153"/>
      <c r="FT108" s="153"/>
      <c r="FU108" s="153"/>
      <c r="FV108" s="153"/>
      <c r="FW108" s="153"/>
      <c r="FX108" s="153"/>
      <c r="FY108" s="153"/>
      <c r="FZ108" s="153"/>
      <c r="GA108" s="153"/>
      <c r="GB108" s="153"/>
      <c r="GC108" s="153"/>
      <c r="GD108" s="153"/>
      <c r="GE108" s="153"/>
      <c r="GF108" s="153"/>
      <c r="GG108" s="153"/>
      <c r="GH108" s="153"/>
      <c r="GI108" s="153"/>
      <c r="GJ108" s="153"/>
      <c r="GK108" s="153"/>
      <c r="GL108" s="153"/>
      <c r="GM108" s="153"/>
      <c r="GN108" s="153"/>
      <c r="GO108" s="153"/>
      <c r="GP108" s="153"/>
    </row>
    <row r="109" spans="1:198" s="150" customFormat="1" ht="15.5">
      <c r="A109" s="693"/>
      <c r="B109" s="694" t="s">
        <v>1241</v>
      </c>
      <c r="C109" s="613"/>
      <c r="D109" s="613"/>
      <c r="E109" s="602"/>
      <c r="F109" s="605">
        <f>SUM(F106)</f>
        <v>0</v>
      </c>
      <c r="G109" s="165"/>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c r="BI109" s="153"/>
      <c r="BJ109" s="153"/>
      <c r="BK109" s="153"/>
      <c r="BL109" s="153"/>
      <c r="BM109" s="153"/>
      <c r="BN109" s="153"/>
      <c r="BO109" s="153"/>
      <c r="BP109" s="153"/>
      <c r="BQ109" s="153"/>
      <c r="BR109" s="153"/>
      <c r="BS109" s="153"/>
      <c r="BT109" s="153"/>
      <c r="BU109" s="153"/>
      <c r="BV109" s="153"/>
      <c r="BW109" s="153"/>
      <c r="BX109" s="153"/>
      <c r="BY109" s="153"/>
      <c r="BZ109" s="153"/>
      <c r="CA109" s="153"/>
      <c r="CB109" s="153"/>
      <c r="CC109" s="153"/>
      <c r="CD109" s="153"/>
      <c r="CE109" s="153"/>
      <c r="CF109" s="153"/>
      <c r="CG109" s="153"/>
      <c r="CH109" s="153"/>
      <c r="CI109" s="153"/>
      <c r="CJ109" s="153"/>
      <c r="CK109" s="153"/>
      <c r="CL109" s="153"/>
      <c r="CM109" s="153"/>
      <c r="CN109" s="153"/>
      <c r="CO109" s="153"/>
      <c r="CP109" s="153"/>
      <c r="CQ109" s="153"/>
      <c r="CR109" s="153"/>
      <c r="CS109" s="153"/>
      <c r="CT109" s="153"/>
      <c r="CU109" s="153"/>
      <c r="CV109" s="153"/>
      <c r="CW109" s="153"/>
      <c r="CX109" s="153"/>
      <c r="CY109" s="153"/>
      <c r="CZ109" s="153"/>
      <c r="DA109" s="153"/>
      <c r="DB109" s="153"/>
      <c r="DC109" s="153"/>
      <c r="DD109" s="153"/>
      <c r="DE109" s="153"/>
      <c r="DF109" s="153"/>
      <c r="DG109" s="153"/>
      <c r="DH109" s="153"/>
      <c r="DI109" s="153"/>
      <c r="DJ109" s="153"/>
      <c r="DK109" s="153"/>
      <c r="DL109" s="153"/>
      <c r="DM109" s="153"/>
      <c r="DN109" s="153"/>
      <c r="DO109" s="153"/>
      <c r="DP109" s="153"/>
      <c r="DQ109" s="153"/>
      <c r="DR109" s="153"/>
      <c r="DS109" s="153"/>
      <c r="DT109" s="153"/>
      <c r="DU109" s="153"/>
      <c r="DV109" s="153"/>
      <c r="DW109" s="153"/>
      <c r="DX109" s="153"/>
      <c r="DY109" s="153"/>
      <c r="DZ109" s="153"/>
      <c r="EA109" s="153"/>
      <c r="EB109" s="153"/>
      <c r="EC109" s="153"/>
      <c r="ED109" s="153"/>
      <c r="EE109" s="153"/>
      <c r="EF109" s="153"/>
      <c r="EG109" s="153"/>
      <c r="EH109" s="153"/>
      <c r="EI109" s="153"/>
      <c r="EJ109" s="153"/>
      <c r="EK109" s="153"/>
      <c r="EL109" s="153"/>
      <c r="EM109" s="153"/>
      <c r="EN109" s="153"/>
      <c r="EO109" s="153"/>
      <c r="EP109" s="153"/>
      <c r="EQ109" s="153"/>
      <c r="ER109" s="153"/>
      <c r="ES109" s="153"/>
      <c r="ET109" s="153"/>
      <c r="EU109" s="153"/>
      <c r="EV109" s="153"/>
      <c r="EW109" s="153"/>
      <c r="EX109" s="153"/>
      <c r="EY109" s="153"/>
      <c r="EZ109" s="153"/>
      <c r="FA109" s="153"/>
      <c r="FB109" s="153"/>
      <c r="FC109" s="153"/>
      <c r="FD109" s="153"/>
      <c r="FE109" s="153"/>
      <c r="FF109" s="153"/>
      <c r="FG109" s="153"/>
      <c r="FH109" s="153"/>
      <c r="FI109" s="153"/>
      <c r="FJ109" s="153"/>
      <c r="FK109" s="153"/>
      <c r="FL109" s="153"/>
      <c r="FM109" s="153"/>
      <c r="FN109" s="153"/>
      <c r="FO109" s="153"/>
      <c r="FP109" s="153"/>
      <c r="FQ109" s="153"/>
      <c r="FR109" s="153"/>
      <c r="FS109" s="153"/>
      <c r="FT109" s="153"/>
      <c r="FU109" s="153"/>
      <c r="FV109" s="153"/>
      <c r="FW109" s="153"/>
      <c r="FX109" s="153"/>
      <c r="FY109" s="153"/>
      <c r="FZ109" s="153"/>
      <c r="GA109" s="153"/>
      <c r="GB109" s="153"/>
      <c r="GC109" s="153"/>
      <c r="GD109" s="153"/>
      <c r="GE109" s="153"/>
      <c r="GF109" s="153"/>
      <c r="GG109" s="153"/>
      <c r="GH109" s="153"/>
      <c r="GI109" s="153"/>
      <c r="GJ109" s="153"/>
      <c r="GK109" s="153"/>
      <c r="GL109" s="153"/>
      <c r="GM109" s="153"/>
      <c r="GN109" s="153"/>
      <c r="GO109" s="153"/>
      <c r="GP109" s="153"/>
    </row>
    <row r="110" spans="1:198">
      <c r="A110" s="668" t="s">
        <v>0</v>
      </c>
      <c r="B110" s="669" t="s">
        <v>1</v>
      </c>
      <c r="C110" s="592" t="s">
        <v>2</v>
      </c>
      <c r="D110" s="593" t="s">
        <v>426</v>
      </c>
      <c r="E110" s="594" t="s">
        <v>368</v>
      </c>
      <c r="F110" s="976" t="s">
        <v>472</v>
      </c>
      <c r="G110" s="186"/>
    </row>
    <row r="111" spans="1:198" s="576" customFormat="1">
      <c r="A111" s="690">
        <v>8.6999999999999993</v>
      </c>
      <c r="B111" s="674" t="s">
        <v>1077</v>
      </c>
      <c r="C111" s="648"/>
      <c r="D111" s="618"/>
      <c r="E111" s="648"/>
      <c r="F111" s="682"/>
    </row>
    <row r="112" spans="1:198" s="576" customFormat="1">
      <c r="A112" s="681"/>
      <c r="B112" s="649" t="s">
        <v>55</v>
      </c>
      <c r="C112" s="648"/>
      <c r="D112" s="618"/>
      <c r="E112" s="648"/>
      <c r="F112" s="682"/>
    </row>
    <row r="113" spans="1:7" s="576" customFormat="1">
      <c r="A113" s="681"/>
      <c r="B113" s="649" t="s">
        <v>56</v>
      </c>
      <c r="C113" s="648"/>
      <c r="D113" s="618"/>
      <c r="E113" s="648"/>
      <c r="F113" s="682"/>
    </row>
    <row r="114" spans="1:7" s="576" customFormat="1">
      <c r="A114" s="681" t="s">
        <v>1545</v>
      </c>
      <c r="B114" s="616" t="s">
        <v>949</v>
      </c>
      <c r="C114" s="648" t="s">
        <v>33</v>
      </c>
      <c r="D114" s="618">
        <f>D56</f>
        <v>150</v>
      </c>
      <c r="E114" s="648"/>
      <c r="F114" s="682">
        <f>E114*D114</f>
        <v>0</v>
      </c>
    </row>
    <row r="115" spans="1:7" s="576" customFormat="1">
      <c r="A115" s="681"/>
      <c r="B115" s="649" t="s">
        <v>1041</v>
      </c>
      <c r="C115" s="648"/>
      <c r="D115" s="618"/>
      <c r="E115" s="648"/>
      <c r="F115" s="682"/>
    </row>
    <row r="116" spans="1:7" s="576" customFormat="1">
      <c r="A116" s="681" t="s">
        <v>1546</v>
      </c>
      <c r="B116" s="616" t="s">
        <v>1549</v>
      </c>
      <c r="C116" s="648" t="s">
        <v>33</v>
      </c>
      <c r="D116" s="618">
        <v>350</v>
      </c>
      <c r="E116" s="648"/>
      <c r="F116" s="682">
        <f>E116*D116</f>
        <v>0</v>
      </c>
    </row>
    <row r="117" spans="1:7" s="576" customFormat="1">
      <c r="A117" s="681"/>
      <c r="B117" s="674" t="s">
        <v>18</v>
      </c>
      <c r="C117" s="648"/>
      <c r="D117" s="618"/>
      <c r="E117" s="648"/>
      <c r="F117" s="682"/>
    </row>
    <row r="118" spans="1:7" s="576" customFormat="1">
      <c r="A118" s="681"/>
      <c r="B118" s="649" t="s">
        <v>58</v>
      </c>
      <c r="C118" s="648"/>
      <c r="D118" s="618"/>
      <c r="E118" s="648"/>
      <c r="F118" s="682"/>
    </row>
    <row r="119" spans="1:7" s="576" customFormat="1">
      <c r="A119" s="681" t="s">
        <v>1547</v>
      </c>
      <c r="B119" s="616" t="s">
        <v>1078</v>
      </c>
      <c r="C119" s="648" t="s">
        <v>33</v>
      </c>
      <c r="D119" s="618">
        <f>D15</f>
        <v>125</v>
      </c>
      <c r="E119" s="648"/>
      <c r="F119" s="682">
        <f>E119*D119</f>
        <v>0</v>
      </c>
    </row>
    <row r="120" spans="1:7" s="576" customFormat="1">
      <c r="A120" s="681" t="s">
        <v>1548</v>
      </c>
      <c r="B120" s="616" t="s">
        <v>1079</v>
      </c>
      <c r="C120" s="648" t="s">
        <v>50</v>
      </c>
      <c r="D120" s="618">
        <v>120</v>
      </c>
      <c r="E120" s="648"/>
      <c r="F120" s="682">
        <f t="shared" ref="F120" si="6">D120*E120</f>
        <v>0</v>
      </c>
    </row>
    <row r="121" spans="1:7" s="155" customFormat="1" ht="15.5">
      <c r="A121" s="681" t="s">
        <v>1644</v>
      </c>
      <c r="B121" s="717" t="s">
        <v>523</v>
      </c>
      <c r="C121" s="617" t="s">
        <v>33</v>
      </c>
      <c r="D121" s="617">
        <v>21</v>
      </c>
      <c r="E121" s="618"/>
      <c r="F121" s="612">
        <f>E121*D121</f>
        <v>0</v>
      </c>
      <c r="G121" s="167"/>
    </row>
    <row r="122" spans="1:7" s="576" customFormat="1">
      <c r="A122" s="681"/>
      <c r="B122" s="674" t="s">
        <v>392</v>
      </c>
      <c r="C122" s="648"/>
      <c r="D122" s="618"/>
      <c r="E122" s="648"/>
      <c r="F122" s="682"/>
    </row>
    <row r="123" spans="1:7" s="576" customFormat="1">
      <c r="A123" s="681"/>
      <c r="B123" s="674" t="s">
        <v>1043</v>
      </c>
      <c r="C123" s="648"/>
      <c r="D123" s="618"/>
      <c r="E123" s="648"/>
      <c r="F123" s="682"/>
    </row>
    <row r="124" spans="1:7" s="576" customFormat="1">
      <c r="A124" s="681"/>
      <c r="B124" s="674" t="s">
        <v>1044</v>
      </c>
      <c r="C124" s="648"/>
      <c r="D124" s="618"/>
      <c r="E124" s="648"/>
      <c r="F124" s="682"/>
    </row>
    <row r="125" spans="1:7" s="576" customFormat="1">
      <c r="A125" s="681" t="s">
        <v>1645</v>
      </c>
      <c r="B125" s="616" t="s">
        <v>1045</v>
      </c>
      <c r="C125" s="648" t="s">
        <v>33</v>
      </c>
      <c r="D125" s="618">
        <f>D114</f>
        <v>150</v>
      </c>
      <c r="E125" s="648"/>
      <c r="F125" s="682">
        <f>E125*D125</f>
        <v>0</v>
      </c>
    </row>
    <row r="126" spans="1:7" s="576" customFormat="1">
      <c r="A126" s="681"/>
      <c r="B126" s="674" t="s">
        <v>1046</v>
      </c>
      <c r="C126" s="648"/>
      <c r="D126" s="618"/>
      <c r="E126" s="648"/>
      <c r="F126" s="682"/>
    </row>
    <row r="127" spans="1:7" s="576" customFormat="1">
      <c r="A127" s="681"/>
      <c r="B127" s="674" t="s">
        <v>1047</v>
      </c>
      <c r="C127" s="648"/>
      <c r="D127" s="618"/>
      <c r="E127" s="648"/>
      <c r="F127" s="682"/>
    </row>
    <row r="128" spans="1:7" s="576" customFormat="1">
      <c r="A128" s="681" t="s">
        <v>1646</v>
      </c>
      <c r="B128" s="616" t="s">
        <v>1550</v>
      </c>
      <c r="C128" s="648" t="s">
        <v>33</v>
      </c>
      <c r="D128" s="618">
        <f>D116</f>
        <v>350</v>
      </c>
      <c r="E128" s="648"/>
      <c r="F128" s="682">
        <f>E128*D128</f>
        <v>0</v>
      </c>
    </row>
    <row r="129" spans="1:198" s="150" customFormat="1" ht="15.5">
      <c r="A129" s="673"/>
      <c r="B129" s="674" t="s">
        <v>1229</v>
      </c>
      <c r="C129" s="639"/>
      <c r="D129" s="715"/>
      <c r="E129" s="688"/>
      <c r="F129" s="789">
        <f>SUM(F113:F128)</f>
        <v>0</v>
      </c>
      <c r="G129" s="165"/>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3"/>
      <c r="BM129" s="153"/>
      <c r="BN129" s="153"/>
      <c r="BO129" s="153"/>
      <c r="BP129" s="153"/>
      <c r="BQ129" s="153"/>
      <c r="BR129" s="153"/>
      <c r="BS129" s="153"/>
      <c r="BT129" s="153"/>
      <c r="BU129" s="153"/>
      <c r="BV129" s="153"/>
      <c r="BW129" s="153"/>
      <c r="BX129" s="153"/>
      <c r="BY129" s="153"/>
      <c r="BZ129" s="153"/>
      <c r="CA129" s="153"/>
      <c r="CB129" s="153"/>
      <c r="CC129" s="153"/>
      <c r="CD129" s="153"/>
      <c r="CE129" s="153"/>
      <c r="CF129" s="153"/>
      <c r="CG129" s="153"/>
      <c r="CH129" s="153"/>
      <c r="CI129" s="153"/>
      <c r="CJ129" s="153"/>
      <c r="CK129" s="153"/>
      <c r="CL129" s="153"/>
      <c r="CM129" s="153"/>
      <c r="CN129" s="153"/>
      <c r="CO129" s="153"/>
      <c r="CP129" s="153"/>
      <c r="CQ129" s="153"/>
      <c r="CR129" s="153"/>
      <c r="CS129" s="153"/>
      <c r="CT129" s="153"/>
      <c r="CU129" s="153"/>
      <c r="CV129" s="153"/>
      <c r="CW129" s="153"/>
      <c r="CX129" s="153"/>
      <c r="CY129" s="153"/>
      <c r="CZ129" s="153"/>
      <c r="DA129" s="153"/>
      <c r="DB129" s="153"/>
      <c r="DC129" s="153"/>
      <c r="DD129" s="153"/>
      <c r="DE129" s="153"/>
      <c r="DF129" s="153"/>
      <c r="DG129" s="153"/>
      <c r="DH129" s="153"/>
      <c r="DI129" s="153"/>
      <c r="DJ129" s="153"/>
      <c r="DK129" s="153"/>
      <c r="DL129" s="153"/>
      <c r="DM129" s="153"/>
      <c r="DN129" s="153"/>
      <c r="DO129" s="153"/>
      <c r="DP129" s="153"/>
      <c r="DQ129" s="153"/>
      <c r="DR129" s="153"/>
      <c r="DS129" s="153"/>
      <c r="DT129" s="153"/>
      <c r="DU129" s="153"/>
      <c r="DV129" s="153"/>
      <c r="DW129" s="153"/>
      <c r="DX129" s="153"/>
      <c r="DY129" s="153"/>
      <c r="DZ129" s="153"/>
      <c r="EA129" s="153"/>
      <c r="EB129" s="153"/>
      <c r="EC129" s="153"/>
      <c r="ED129" s="153"/>
      <c r="EE129" s="153"/>
      <c r="EF129" s="153"/>
      <c r="EG129" s="153"/>
      <c r="EH129" s="153"/>
      <c r="EI129" s="153"/>
      <c r="EJ129" s="153"/>
      <c r="EK129" s="153"/>
      <c r="EL129" s="153"/>
      <c r="EM129" s="153"/>
      <c r="EN129" s="153"/>
      <c r="EO129" s="153"/>
      <c r="EP129" s="153"/>
      <c r="EQ129" s="153"/>
      <c r="ER129" s="153"/>
      <c r="ES129" s="153"/>
      <c r="ET129" s="153"/>
      <c r="EU129" s="153"/>
      <c r="EV129" s="153"/>
      <c r="EW129" s="153"/>
      <c r="EX129" s="153"/>
      <c r="EY129" s="153"/>
      <c r="EZ129" s="153"/>
      <c r="FA129" s="153"/>
      <c r="FB129" s="153"/>
      <c r="FC129" s="153"/>
      <c r="FD129" s="153"/>
      <c r="FE129" s="153"/>
      <c r="FF129" s="153"/>
      <c r="FG129" s="153"/>
      <c r="FH129" s="153"/>
      <c r="FI129" s="153"/>
      <c r="FJ129" s="153"/>
      <c r="FK129" s="153"/>
      <c r="FL129" s="153"/>
      <c r="FM129" s="153"/>
      <c r="FN129" s="153"/>
      <c r="FO129" s="153"/>
      <c r="FP129" s="153"/>
      <c r="FQ129" s="153"/>
      <c r="FR129" s="153"/>
      <c r="FS129" s="153"/>
      <c r="FT129" s="153"/>
      <c r="FU129" s="153"/>
      <c r="FV129" s="153"/>
      <c r="FW129" s="153"/>
      <c r="FX129" s="153"/>
      <c r="FY129" s="153"/>
      <c r="FZ129" s="153"/>
      <c r="GA129" s="153"/>
      <c r="GB129" s="153"/>
      <c r="GC129" s="153"/>
      <c r="GD129" s="153"/>
      <c r="GE129" s="153"/>
      <c r="GF129" s="153"/>
      <c r="GG129" s="153"/>
      <c r="GH129" s="153"/>
      <c r="GI129" s="153"/>
      <c r="GJ129" s="153"/>
      <c r="GK129" s="153"/>
      <c r="GL129" s="153"/>
      <c r="GM129" s="153"/>
      <c r="GN129" s="153"/>
      <c r="GO129" s="153"/>
      <c r="GP129" s="153"/>
    </row>
    <row r="130" spans="1:198" s="154" customFormat="1" ht="20" customHeight="1">
      <c r="A130" s="673"/>
      <c r="B130" s="635"/>
      <c r="C130" s="639"/>
      <c r="D130" s="715"/>
      <c r="E130" s="688"/>
      <c r="F130" s="789"/>
      <c r="G130" s="166"/>
    </row>
    <row r="131" spans="1:198" s="154" customFormat="1" ht="16.5" customHeight="1">
      <c r="A131" s="728">
        <v>8.8000000000000007</v>
      </c>
      <c r="B131" s="729" t="s">
        <v>1180</v>
      </c>
      <c r="C131" s="730"/>
      <c r="D131" s="731"/>
      <c r="E131" s="730"/>
      <c r="F131" s="980">
        <f t="shared" ref="F131:F148" si="7">E131*D131</f>
        <v>0</v>
      </c>
      <c r="G131" s="166"/>
    </row>
    <row r="132" spans="1:198" s="101" customFormat="1">
      <c r="A132" s="678"/>
      <c r="B132" s="674" t="s">
        <v>1235</v>
      </c>
      <c r="C132" s="648"/>
      <c r="D132" s="617"/>
      <c r="E132" s="618"/>
      <c r="F132" s="675"/>
      <c r="G132" s="159"/>
    </row>
    <row r="133" spans="1:198" s="154" customFormat="1" ht="62">
      <c r="A133" s="733"/>
      <c r="B133" s="734" t="s">
        <v>479</v>
      </c>
      <c r="C133" s="735"/>
      <c r="D133" s="736"/>
      <c r="E133" s="737"/>
      <c r="F133" s="804">
        <f t="shared" si="7"/>
        <v>0</v>
      </c>
      <c r="G133" s="166"/>
    </row>
    <row r="134" spans="1:198" s="157" customFormat="1" ht="15.5">
      <c r="A134" s="733" t="s">
        <v>1538</v>
      </c>
      <c r="B134" s="738" t="s">
        <v>513</v>
      </c>
      <c r="C134" s="735" t="s">
        <v>5</v>
      </c>
      <c r="D134" s="617">
        <v>9</v>
      </c>
      <c r="E134" s="586"/>
      <c r="F134" s="612">
        <f t="shared" si="7"/>
        <v>0</v>
      </c>
      <c r="G134" s="169"/>
    </row>
    <row r="135" spans="1:198" s="157" customFormat="1" ht="15.5">
      <c r="A135" s="733"/>
      <c r="B135" s="739" t="s">
        <v>198</v>
      </c>
      <c r="C135" s="735"/>
      <c r="D135" s="617"/>
      <c r="E135" s="586"/>
      <c r="F135" s="612">
        <f t="shared" si="7"/>
        <v>0</v>
      </c>
      <c r="G135" s="169"/>
    </row>
    <row r="136" spans="1:198" s="157" customFormat="1" ht="20.399999999999999" customHeight="1">
      <c r="A136" s="733" t="s">
        <v>1539</v>
      </c>
      <c r="B136" s="738" t="s">
        <v>269</v>
      </c>
      <c r="C136" s="735" t="s">
        <v>12</v>
      </c>
      <c r="D136" s="617">
        <v>4</v>
      </c>
      <c r="E136" s="586"/>
      <c r="F136" s="612">
        <f t="shared" si="7"/>
        <v>0</v>
      </c>
      <c r="G136" s="169"/>
    </row>
    <row r="137" spans="1:198" s="157" customFormat="1" ht="15.5">
      <c r="A137" s="733"/>
      <c r="B137" s="729" t="s">
        <v>199</v>
      </c>
      <c r="C137" s="737"/>
      <c r="D137" s="617"/>
      <c r="E137" s="586"/>
      <c r="F137" s="612">
        <f t="shared" si="7"/>
        <v>0</v>
      </c>
      <c r="G137" s="169"/>
    </row>
    <row r="138" spans="1:198" s="157" customFormat="1" ht="124">
      <c r="A138" s="733"/>
      <c r="B138" s="740" t="s">
        <v>480</v>
      </c>
      <c r="C138" s="735"/>
      <c r="D138" s="617"/>
      <c r="E138" s="586"/>
      <c r="F138" s="612">
        <f t="shared" si="7"/>
        <v>0</v>
      </c>
      <c r="G138" s="169"/>
    </row>
    <row r="139" spans="1:198" s="157" customFormat="1" ht="15.5">
      <c r="A139" s="733"/>
      <c r="B139" s="741" t="s">
        <v>206</v>
      </c>
      <c r="C139" s="735"/>
      <c r="D139" s="617"/>
      <c r="E139" s="586"/>
      <c r="F139" s="612">
        <f t="shared" si="7"/>
        <v>0</v>
      </c>
      <c r="G139" s="169"/>
    </row>
    <row r="140" spans="1:198" s="157" customFormat="1" ht="15.5">
      <c r="A140" s="733" t="s">
        <v>1540</v>
      </c>
      <c r="B140" s="741" t="s">
        <v>207</v>
      </c>
      <c r="C140" s="735" t="s">
        <v>12</v>
      </c>
      <c r="D140" s="617">
        <v>6</v>
      </c>
      <c r="E140" s="586"/>
      <c r="F140" s="612">
        <f t="shared" si="7"/>
        <v>0</v>
      </c>
      <c r="G140" s="169"/>
    </row>
    <row r="141" spans="1:198" s="157" customFormat="1" ht="15.5">
      <c r="A141" s="733"/>
      <c r="B141" s="741"/>
      <c r="C141" s="735"/>
      <c r="D141" s="617"/>
      <c r="E141" s="586"/>
      <c r="F141" s="612"/>
      <c r="G141" s="169"/>
    </row>
    <row r="142" spans="1:198" s="157" customFormat="1" ht="15.5">
      <c r="A142" s="1023"/>
      <c r="B142" s="1024"/>
      <c r="C142" s="1025"/>
      <c r="D142" s="1075"/>
      <c r="E142" s="1081"/>
      <c r="F142" s="1082"/>
      <c r="G142" s="169"/>
    </row>
    <row r="143" spans="1:198" s="157" customFormat="1" ht="15.5">
      <c r="A143" s="1023"/>
      <c r="B143" s="1024"/>
      <c r="C143" s="1025"/>
      <c r="D143" s="1075"/>
      <c r="E143" s="1081"/>
      <c r="F143" s="1082"/>
      <c r="G143" s="169"/>
    </row>
    <row r="144" spans="1:198" s="157" customFormat="1" ht="15.5">
      <c r="A144" s="1023"/>
      <c r="B144" s="1024"/>
      <c r="C144" s="1025"/>
      <c r="D144" s="1075"/>
      <c r="E144" s="1081"/>
      <c r="F144" s="1082"/>
      <c r="G144" s="169"/>
    </row>
    <row r="145" spans="1:7">
      <c r="A145" s="668" t="s">
        <v>0</v>
      </c>
      <c r="B145" s="669" t="s">
        <v>1</v>
      </c>
      <c r="C145" s="592" t="s">
        <v>2</v>
      </c>
      <c r="D145" s="593" t="s">
        <v>426</v>
      </c>
      <c r="E145" s="594" t="s">
        <v>368</v>
      </c>
      <c r="F145" s="976" t="s">
        <v>472</v>
      </c>
      <c r="G145" s="186"/>
    </row>
    <row r="146" spans="1:7" s="157" customFormat="1" ht="15.5">
      <c r="A146" s="733"/>
      <c r="B146" s="739" t="s">
        <v>514</v>
      </c>
      <c r="C146" s="737"/>
      <c r="D146" s="617"/>
      <c r="E146" s="586"/>
      <c r="F146" s="612">
        <f t="shared" si="7"/>
        <v>0</v>
      </c>
      <c r="G146" s="169"/>
    </row>
    <row r="147" spans="1:7" s="157" customFormat="1" ht="81.650000000000006" customHeight="1">
      <c r="A147" s="733"/>
      <c r="B147" s="738" t="s">
        <v>515</v>
      </c>
      <c r="C147" s="735"/>
      <c r="D147" s="617"/>
      <c r="E147" s="586"/>
      <c r="F147" s="612">
        <f t="shared" si="7"/>
        <v>0</v>
      </c>
      <c r="G147" s="169"/>
    </row>
    <row r="148" spans="1:7" s="157" customFormat="1" ht="15.5">
      <c r="A148" s="733" t="s">
        <v>1548</v>
      </c>
      <c r="B148" s="741" t="s">
        <v>516</v>
      </c>
      <c r="C148" s="735" t="s">
        <v>4</v>
      </c>
      <c r="D148" s="617">
        <v>50</v>
      </c>
      <c r="E148" s="586"/>
      <c r="F148" s="612">
        <f t="shared" si="7"/>
        <v>0</v>
      </c>
      <c r="G148" s="169"/>
    </row>
    <row r="149" spans="1:7" s="185" customFormat="1" ht="31">
      <c r="A149" s="728"/>
      <c r="B149" s="734" t="s">
        <v>1242</v>
      </c>
      <c r="C149" s="742"/>
      <c r="D149" s="715"/>
      <c r="E149" s="602"/>
      <c r="F149" s="605">
        <f>SUM(F134:F148)</f>
        <v>0</v>
      </c>
      <c r="G149" s="170"/>
    </row>
    <row r="150" spans="1:7" s="157" customFormat="1" ht="15.5">
      <c r="A150" s="733"/>
      <c r="B150" s="741"/>
      <c r="C150" s="735"/>
      <c r="D150" s="617"/>
      <c r="E150" s="586"/>
      <c r="F150" s="612"/>
      <c r="G150" s="169"/>
    </row>
    <row r="151" spans="1:7" s="157" customFormat="1" ht="15.5">
      <c r="A151" s="728">
        <v>8.9</v>
      </c>
      <c r="B151" s="729" t="s">
        <v>1221</v>
      </c>
      <c r="C151" s="742"/>
      <c r="D151" s="617"/>
      <c r="E151" s="586"/>
      <c r="F151" s="612"/>
      <c r="G151" s="169"/>
    </row>
    <row r="152" spans="1:7" s="157" customFormat="1" ht="46.5">
      <c r="A152" s="744"/>
      <c r="B152" s="723" t="s">
        <v>517</v>
      </c>
      <c r="C152" s="745"/>
      <c r="D152" s="617"/>
      <c r="E152" s="586"/>
      <c r="F152" s="612">
        <f t="shared" ref="F152:F153" si="8">E152*D152</f>
        <v>0</v>
      </c>
      <c r="G152" s="169"/>
    </row>
    <row r="153" spans="1:7" s="157" customFormat="1" ht="15.5">
      <c r="A153" s="744" t="s">
        <v>1605</v>
      </c>
      <c r="B153" s="746" t="s">
        <v>518</v>
      </c>
      <c r="C153" s="745" t="s">
        <v>519</v>
      </c>
      <c r="D153" s="617">
        <v>3</v>
      </c>
      <c r="E153" s="586"/>
      <c r="F153" s="612">
        <f t="shared" si="8"/>
        <v>0</v>
      </c>
      <c r="G153" s="169"/>
    </row>
    <row r="154" spans="1:7" s="582" customFormat="1">
      <c r="A154" s="591"/>
      <c r="B154" s="614" t="s">
        <v>351</v>
      </c>
      <c r="C154" s="606"/>
      <c r="D154" s="606"/>
      <c r="E154" s="586"/>
      <c r="F154" s="612"/>
      <c r="G154" s="186"/>
    </row>
    <row r="155" spans="1:7" s="582" customFormat="1" ht="43.5">
      <c r="A155" s="591"/>
      <c r="B155" s="596" t="s">
        <v>1218</v>
      </c>
      <c r="C155" s="606"/>
      <c r="D155" s="606"/>
      <c r="E155" s="586"/>
      <c r="F155" s="612"/>
      <c r="G155" s="186"/>
    </row>
    <row r="156" spans="1:7" s="582" customFormat="1" ht="130.5">
      <c r="A156" s="591"/>
      <c r="B156" s="590" t="s">
        <v>1219</v>
      </c>
      <c r="C156" s="606" t="s">
        <v>5</v>
      </c>
      <c r="D156" s="606">
        <v>3</v>
      </c>
      <c r="E156" s="586"/>
      <c r="F156" s="612">
        <f>D156*E156</f>
        <v>0</v>
      </c>
      <c r="G156" s="186"/>
    </row>
    <row r="157" spans="1:7" s="604" customFormat="1">
      <c r="A157" s="583"/>
      <c r="B157" s="599" t="s">
        <v>1220</v>
      </c>
      <c r="F157" s="620">
        <f>SUM(F153:F156)</f>
        <v>0</v>
      </c>
      <c r="G157" s="799"/>
    </row>
    <row r="158" spans="1:7" s="132" customFormat="1">
      <c r="A158" s="583"/>
      <c r="B158" s="599"/>
      <c r="C158" s="604"/>
      <c r="D158" s="604"/>
      <c r="E158" s="604"/>
      <c r="F158" s="620"/>
    </row>
    <row r="159" spans="1:7" s="157" customFormat="1" ht="15.5">
      <c r="A159" s="722">
        <v>8.9</v>
      </c>
      <c r="B159" s="748" t="s">
        <v>599</v>
      </c>
      <c r="C159" s="636"/>
      <c r="D159" s="617"/>
      <c r="E159" s="586"/>
      <c r="F159" s="612"/>
      <c r="G159" s="169"/>
    </row>
    <row r="160" spans="1:7" s="158" customFormat="1" ht="50.4" customHeight="1">
      <c r="A160" s="744" t="s">
        <v>1605</v>
      </c>
      <c r="B160" s="746" t="s">
        <v>524</v>
      </c>
      <c r="C160" s="745" t="s">
        <v>146</v>
      </c>
      <c r="D160" s="617" t="s">
        <v>439</v>
      </c>
      <c r="E160" s="586"/>
      <c r="F160" s="612"/>
      <c r="G160" s="170"/>
    </row>
    <row r="161" spans="1:7" s="158" customFormat="1" ht="15.5">
      <c r="A161" s="722"/>
      <c r="B161" s="747"/>
      <c r="C161" s="636"/>
      <c r="D161" s="731"/>
      <c r="E161" s="730"/>
      <c r="F161" s="751"/>
      <c r="G161" s="170"/>
    </row>
    <row r="162" spans="1:7" s="158" customFormat="1" ht="15.5">
      <c r="A162" s="722"/>
      <c r="B162" s="747"/>
      <c r="C162" s="636"/>
      <c r="D162" s="731"/>
      <c r="E162" s="730"/>
      <c r="F162" s="751"/>
      <c r="G162" s="170"/>
    </row>
    <row r="163" spans="1:7" s="158" customFormat="1" ht="15.5">
      <c r="A163" s="722"/>
      <c r="B163" s="747"/>
      <c r="C163" s="636"/>
      <c r="D163" s="731"/>
      <c r="E163" s="730"/>
      <c r="F163" s="751"/>
      <c r="G163" s="170"/>
    </row>
    <row r="164" spans="1:7" s="158" customFormat="1" ht="15.5">
      <c r="A164" s="722"/>
      <c r="B164" s="747"/>
      <c r="C164" s="636"/>
      <c r="D164" s="731"/>
      <c r="E164" s="730"/>
      <c r="F164" s="751"/>
      <c r="G164" s="170"/>
    </row>
    <row r="165" spans="1:7" s="158" customFormat="1" ht="15.5">
      <c r="A165" s="722"/>
      <c r="B165" s="747"/>
      <c r="C165" s="636"/>
      <c r="D165" s="731"/>
      <c r="E165" s="730"/>
      <c r="F165" s="751"/>
      <c r="G165" s="170"/>
    </row>
    <row r="166" spans="1:7" s="158" customFormat="1" ht="15.5">
      <c r="A166" s="722"/>
      <c r="B166" s="747"/>
      <c r="C166" s="636"/>
      <c r="D166" s="731"/>
      <c r="E166" s="730"/>
      <c r="F166" s="751"/>
      <c r="G166" s="170"/>
    </row>
    <row r="167" spans="1:7" s="158" customFormat="1" ht="15.5">
      <c r="A167" s="722"/>
      <c r="B167" s="747"/>
      <c r="C167" s="636"/>
      <c r="D167" s="731"/>
      <c r="E167" s="730"/>
      <c r="F167" s="751"/>
      <c r="G167" s="170"/>
    </row>
    <row r="168" spans="1:7" s="158" customFormat="1" ht="15.5">
      <c r="A168" s="722"/>
      <c r="B168" s="747"/>
      <c r="C168" s="636"/>
      <c r="D168" s="731"/>
      <c r="E168" s="730"/>
      <c r="F168" s="751"/>
      <c r="G168" s="170"/>
    </row>
    <row r="169" spans="1:7" s="158" customFormat="1" ht="15.5">
      <c r="A169" s="1141"/>
      <c r="B169" s="1163"/>
      <c r="C169" s="1164"/>
      <c r="D169" s="1150"/>
      <c r="E169" s="1149"/>
      <c r="F169" s="1187"/>
      <c r="G169" s="170"/>
    </row>
    <row r="170" spans="1:7" s="158" customFormat="1" ht="15.5">
      <c r="A170" s="1141"/>
      <c r="B170" s="1163"/>
      <c r="C170" s="1164"/>
      <c r="D170" s="1150"/>
      <c r="E170" s="1149"/>
      <c r="F170" s="1187"/>
      <c r="G170" s="170"/>
    </row>
    <row r="171" spans="1:7" s="158" customFormat="1" ht="15.5">
      <c r="A171" s="722"/>
      <c r="B171" s="747"/>
      <c r="C171" s="636"/>
      <c r="D171" s="731"/>
      <c r="E171" s="730"/>
      <c r="F171" s="751"/>
      <c r="G171" s="170"/>
    </row>
    <row r="172" spans="1:7" s="11" customFormat="1">
      <c r="A172" s="670"/>
      <c r="B172" s="584" t="s">
        <v>1930</v>
      </c>
      <c r="C172" s="671"/>
      <c r="D172" s="672"/>
      <c r="E172" s="607"/>
      <c r="F172" s="587"/>
      <c r="G172" s="131"/>
    </row>
    <row r="173" spans="1:7" s="101" customFormat="1">
      <c r="A173" s="678"/>
      <c r="B173" s="674"/>
      <c r="C173" s="648"/>
      <c r="D173" s="617"/>
      <c r="E173" s="618"/>
      <c r="F173" s="675"/>
      <c r="G173" s="159"/>
    </row>
    <row r="174" spans="1:7" s="148" customFormat="1" ht="15.5">
      <c r="A174" s="744"/>
      <c r="B174" s="590" t="s">
        <v>437</v>
      </c>
      <c r="C174" s="591"/>
      <c r="D174" s="586"/>
      <c r="E174" s="597"/>
      <c r="F174" s="803">
        <f>F35</f>
        <v>0</v>
      </c>
      <c r="G174" s="169"/>
    </row>
    <row r="175" spans="1:7" s="148" customFormat="1" ht="15.5">
      <c r="A175" s="744"/>
      <c r="B175" s="590"/>
      <c r="C175" s="591"/>
      <c r="D175" s="586"/>
      <c r="E175" s="597"/>
      <c r="F175" s="803"/>
      <c r="G175" s="169"/>
    </row>
    <row r="176" spans="1:7" s="148" customFormat="1" ht="15.5">
      <c r="A176" s="744"/>
      <c r="B176" s="590" t="s">
        <v>1063</v>
      </c>
      <c r="C176" s="591"/>
      <c r="D176" s="586"/>
      <c r="E176" s="597"/>
      <c r="F176" s="803">
        <f>F48</f>
        <v>0</v>
      </c>
      <c r="G176" s="169"/>
    </row>
    <row r="177" spans="1:7" s="148" customFormat="1" ht="15.5">
      <c r="A177" s="744"/>
      <c r="B177" s="590"/>
      <c r="C177" s="591"/>
      <c r="D177" s="586"/>
      <c r="E177" s="597"/>
      <c r="F177" s="803"/>
      <c r="G177" s="169"/>
    </row>
    <row r="178" spans="1:7" s="148" customFormat="1" ht="15.5">
      <c r="A178" s="744"/>
      <c r="B178" s="590" t="s">
        <v>1071</v>
      </c>
      <c r="C178" s="591"/>
      <c r="D178" s="586"/>
      <c r="E178" s="597"/>
      <c r="F178" s="803">
        <f>F60</f>
        <v>0</v>
      </c>
      <c r="G178" s="169"/>
    </row>
    <row r="179" spans="1:7" s="148" customFormat="1" ht="15.5">
      <c r="A179" s="744"/>
      <c r="B179" s="590"/>
      <c r="C179" s="591"/>
      <c r="D179" s="586"/>
      <c r="E179" s="597"/>
      <c r="F179" s="803"/>
      <c r="G179" s="169"/>
    </row>
    <row r="180" spans="1:7" s="148" customFormat="1" ht="15.5">
      <c r="A180" s="744"/>
      <c r="B180" s="590" t="s">
        <v>1162</v>
      </c>
      <c r="C180" s="591"/>
      <c r="D180" s="586"/>
      <c r="E180" s="597"/>
      <c r="F180" s="803">
        <f>F89</f>
        <v>0</v>
      </c>
      <c r="G180" s="169"/>
    </row>
    <row r="181" spans="1:7" s="148" customFormat="1" ht="15.5">
      <c r="A181" s="744"/>
      <c r="B181" s="590"/>
      <c r="C181" s="591"/>
      <c r="D181" s="586"/>
      <c r="E181" s="597"/>
      <c r="F181" s="803"/>
      <c r="G181" s="169"/>
    </row>
    <row r="182" spans="1:7" s="148" customFormat="1" ht="15.5">
      <c r="A182" s="744"/>
      <c r="B182" s="590" t="s">
        <v>1168</v>
      </c>
      <c r="C182" s="591"/>
      <c r="D182" s="586"/>
      <c r="E182" s="597"/>
      <c r="F182" s="803">
        <f>F104</f>
        <v>0</v>
      </c>
      <c r="G182" s="169"/>
    </row>
    <row r="183" spans="1:7" s="148" customFormat="1" ht="15.5">
      <c r="A183" s="744"/>
      <c r="B183" s="590"/>
      <c r="C183" s="591"/>
      <c r="D183" s="586"/>
      <c r="E183" s="597"/>
      <c r="F183" s="803"/>
      <c r="G183" s="169"/>
    </row>
    <row r="184" spans="1:7" s="148" customFormat="1" ht="15.5">
      <c r="A184" s="744"/>
      <c r="B184" s="746" t="s">
        <v>1177</v>
      </c>
      <c r="C184" s="745"/>
      <c r="D184" s="736"/>
      <c r="E184" s="737"/>
      <c r="F184" s="804">
        <f>F109</f>
        <v>0</v>
      </c>
      <c r="G184" s="169"/>
    </row>
    <row r="185" spans="1:7" s="148" customFormat="1" ht="15.5">
      <c r="A185" s="744"/>
      <c r="B185" s="746"/>
      <c r="C185" s="745"/>
      <c r="D185" s="736"/>
      <c r="E185" s="737"/>
      <c r="F185" s="804"/>
      <c r="G185" s="169"/>
    </row>
    <row r="186" spans="1:7" s="148" customFormat="1" ht="15.5">
      <c r="A186" s="744"/>
      <c r="B186" s="746" t="s">
        <v>1077</v>
      </c>
      <c r="C186" s="745"/>
      <c r="D186" s="736"/>
      <c r="E186" s="737"/>
      <c r="F186" s="804">
        <f>F129</f>
        <v>0</v>
      </c>
      <c r="G186" s="169"/>
    </row>
    <row r="187" spans="1:7" s="148" customFormat="1" ht="15.5">
      <c r="A187" s="744"/>
      <c r="B187" s="746"/>
      <c r="C187" s="745"/>
      <c r="D187" s="736"/>
      <c r="E187" s="737"/>
      <c r="F187" s="804"/>
      <c r="G187" s="169"/>
    </row>
    <row r="188" spans="1:7" s="148" customFormat="1" ht="15.5">
      <c r="A188" s="744"/>
      <c r="B188" s="741" t="s">
        <v>1180</v>
      </c>
      <c r="C188" s="745"/>
      <c r="D188" s="736"/>
      <c r="E188" s="737"/>
      <c r="F188" s="804">
        <f>F149</f>
        <v>0</v>
      </c>
      <c r="G188" s="169"/>
    </row>
    <row r="189" spans="1:7" s="148" customFormat="1" ht="15.5">
      <c r="A189" s="744"/>
      <c r="B189" s="746"/>
      <c r="C189" s="745"/>
      <c r="D189" s="736"/>
      <c r="E189" s="737"/>
      <c r="F189" s="804"/>
      <c r="G189" s="169"/>
    </row>
    <row r="190" spans="1:7" s="148" customFormat="1" ht="15.5">
      <c r="A190" s="744"/>
      <c r="B190" s="741" t="str">
        <f>B151</f>
        <v>BILL NO. 9: FANS and AC</v>
      </c>
      <c r="C190" s="745"/>
      <c r="D190" s="736"/>
      <c r="E190" s="737"/>
      <c r="F190" s="804">
        <f>F157</f>
        <v>0</v>
      </c>
      <c r="G190" s="169"/>
    </row>
    <row r="191" spans="1:7" s="148" customFormat="1" ht="15.5">
      <c r="A191" s="744"/>
      <c r="B191" s="746"/>
      <c r="C191" s="745"/>
      <c r="D191" s="736"/>
      <c r="E191" s="737"/>
      <c r="F191" s="804"/>
      <c r="G191" s="169"/>
    </row>
    <row r="192" spans="1:7" s="148" customFormat="1" ht="15.5">
      <c r="A192" s="744"/>
      <c r="B192" s="746" t="s">
        <v>1189</v>
      </c>
      <c r="C192" s="745"/>
      <c r="D192" s="736"/>
      <c r="E192" s="737"/>
      <c r="F192" s="804">
        <f>F160</f>
        <v>0</v>
      </c>
      <c r="G192" s="169"/>
    </row>
    <row r="193" spans="1:7" s="148" customFormat="1" ht="15.5">
      <c r="A193" s="744"/>
      <c r="B193" s="746"/>
      <c r="C193" s="745"/>
      <c r="D193" s="736"/>
      <c r="E193" s="737"/>
      <c r="F193" s="804"/>
      <c r="G193" s="169"/>
    </row>
    <row r="194" spans="1:7" s="102" customFormat="1" ht="15.5">
      <c r="A194" s="673"/>
      <c r="B194" s="968" t="s">
        <v>587</v>
      </c>
      <c r="C194" s="815"/>
      <c r="D194" s="816"/>
      <c r="E194" s="817"/>
      <c r="F194" s="818">
        <f>SUM(F174:F193)</f>
        <v>0</v>
      </c>
      <c r="G194" s="941"/>
    </row>
    <row r="195" spans="1:7" s="158" customFormat="1" ht="15.5">
      <c r="A195" s="722"/>
      <c r="B195" s="599"/>
      <c r="C195" s="583"/>
      <c r="D195" s="602"/>
      <c r="E195" s="600"/>
      <c r="F195" s="750"/>
      <c r="G195" s="170"/>
    </row>
    <row r="196" spans="1:7" s="101" customFormat="1">
      <c r="A196" s="678"/>
      <c r="B196" s="674"/>
      <c r="C196" s="648"/>
      <c r="D196" s="617"/>
      <c r="E196" s="618"/>
      <c r="F196" s="789"/>
      <c r="G196" s="159"/>
    </row>
    <row r="197" spans="1:7">
      <c r="A197" s="670"/>
      <c r="B197" s="588"/>
      <c r="C197" s="598"/>
      <c r="D197" s="585"/>
      <c r="E197" s="607"/>
      <c r="F197" s="587"/>
      <c r="G197" s="186"/>
    </row>
  </sheetData>
  <pageMargins left="0.7" right="0.7" top="0.75" bottom="0.75" header="0.3" footer="0.3"/>
  <pageSetup scale="98" orientation="portrait" r:id="rId1"/>
  <rowBreaks count="1" manualBreakCount="1">
    <brk id="35"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view="pageBreakPreview" zoomScaleNormal="100" zoomScaleSheetLayoutView="100" workbookViewId="0">
      <selection activeCell="G1" sqref="G1:M1048576"/>
    </sheetView>
  </sheetViews>
  <sheetFormatPr defaultColWidth="8.90625" defaultRowHeight="14.5"/>
  <cols>
    <col min="1" max="1" width="6" style="258" bestFit="1" customWidth="1"/>
    <col min="2" max="2" width="45.36328125" style="259" customWidth="1"/>
    <col min="3" max="3" width="5.36328125" style="258" bestFit="1" customWidth="1"/>
    <col min="4" max="4" width="7.36328125" style="258" bestFit="1" customWidth="1"/>
    <col min="5" max="5" width="9.36328125" style="258" bestFit="1" customWidth="1"/>
    <col min="6" max="6" width="11.08984375" style="1196" bestFit="1" customWidth="1"/>
    <col min="7" max="16384" width="8.90625" style="258"/>
  </cols>
  <sheetData>
    <row r="1" spans="1:6" s="227" customFormat="1">
      <c r="A1" s="223" t="s">
        <v>0</v>
      </c>
      <c r="B1" s="224" t="s">
        <v>1</v>
      </c>
      <c r="C1" s="223" t="s">
        <v>2</v>
      </c>
      <c r="D1" s="225" t="s">
        <v>642</v>
      </c>
      <c r="E1" s="226" t="s">
        <v>368</v>
      </c>
      <c r="F1" s="1188" t="s">
        <v>643</v>
      </c>
    </row>
    <row r="2" spans="1:6" s="231" customFormat="1">
      <c r="A2" s="228"/>
      <c r="B2" s="130" t="s">
        <v>859</v>
      </c>
      <c r="C2" s="209"/>
      <c r="D2" s="229"/>
      <c r="E2" s="230"/>
      <c r="F2" s="1189"/>
    </row>
    <row r="3" spans="1:6" s="231" customFormat="1">
      <c r="A3" s="440">
        <v>9</v>
      </c>
      <c r="B3" s="208" t="s">
        <v>758</v>
      </c>
      <c r="C3" s="232"/>
      <c r="D3" s="232"/>
      <c r="E3" s="232"/>
      <c r="F3" s="1190"/>
    </row>
    <row r="4" spans="1:6" s="227" customFormat="1">
      <c r="A4" s="228"/>
      <c r="B4" s="212" t="s">
        <v>791</v>
      </c>
      <c r="C4" s="234"/>
      <c r="D4" s="287"/>
      <c r="E4" s="287"/>
      <c r="F4" s="1191"/>
    </row>
    <row r="5" spans="1:6" s="227" customFormat="1">
      <c r="A5" s="228"/>
      <c r="B5" s="235"/>
      <c r="C5" s="234"/>
      <c r="D5" s="287"/>
      <c r="E5" s="287"/>
      <c r="F5" s="1191"/>
    </row>
    <row r="6" spans="1:6" s="227" customFormat="1" ht="21" customHeight="1">
      <c r="A6" s="228">
        <v>9.1</v>
      </c>
      <c r="B6" s="236" t="s">
        <v>644</v>
      </c>
      <c r="C6" s="234"/>
      <c r="D6" s="287"/>
      <c r="E6" s="287"/>
      <c r="F6" s="1191"/>
    </row>
    <row r="7" spans="1:6" s="227" customFormat="1">
      <c r="A7" s="228"/>
      <c r="B7" s="236" t="s">
        <v>645</v>
      </c>
      <c r="C7" s="234" t="s">
        <v>425</v>
      </c>
      <c r="D7" s="287">
        <f>2*2*1.5</f>
        <v>6</v>
      </c>
      <c r="E7" s="287"/>
      <c r="F7" s="1191">
        <f>E7*D7</f>
        <v>0</v>
      </c>
    </row>
    <row r="8" spans="1:6" s="227" customFormat="1">
      <c r="A8" s="228"/>
      <c r="B8" s="237" t="s">
        <v>646</v>
      </c>
      <c r="C8" s="234"/>
      <c r="D8" s="287"/>
      <c r="E8" s="287"/>
      <c r="F8" s="1191"/>
    </row>
    <row r="9" spans="1:6" s="227" customFormat="1">
      <c r="A9" s="228">
        <v>9.1999999999999993</v>
      </c>
      <c r="B9" s="236" t="s">
        <v>647</v>
      </c>
      <c r="C9" s="234" t="s">
        <v>425</v>
      </c>
      <c r="D9" s="287">
        <f>2</f>
        <v>2</v>
      </c>
      <c r="E9" s="287"/>
      <c r="F9" s="1191">
        <f>E9*D9</f>
        <v>0</v>
      </c>
    </row>
    <row r="10" spans="1:6" s="227" customFormat="1" ht="29">
      <c r="A10" s="228">
        <v>9.3000000000000007</v>
      </c>
      <c r="B10" s="241" t="s">
        <v>648</v>
      </c>
      <c r="C10" s="234" t="s">
        <v>425</v>
      </c>
      <c r="D10" s="287">
        <v>3</v>
      </c>
      <c r="E10" s="287"/>
      <c r="F10" s="1191">
        <f>E10*D10</f>
        <v>0</v>
      </c>
    </row>
    <row r="11" spans="1:6" s="239" customFormat="1">
      <c r="A11" s="204"/>
      <c r="B11" s="288" t="s">
        <v>649</v>
      </c>
      <c r="C11" s="238"/>
      <c r="D11" s="289"/>
      <c r="E11" s="289"/>
      <c r="F11" s="1192">
        <f>SUM(F7:F10)</f>
        <v>0</v>
      </c>
    </row>
    <row r="12" spans="1:6" s="227" customFormat="1">
      <c r="A12" s="228"/>
      <c r="B12" s="240"/>
      <c r="C12" s="234"/>
      <c r="D12" s="287"/>
      <c r="E12" s="287"/>
      <c r="F12" s="1191"/>
    </row>
    <row r="13" spans="1:6" s="227" customFormat="1">
      <c r="A13" s="228"/>
      <c r="B13" s="212" t="s">
        <v>792</v>
      </c>
      <c r="C13" s="234"/>
      <c r="D13" s="287"/>
      <c r="E13" s="287"/>
      <c r="F13" s="1191"/>
    </row>
    <row r="14" spans="1:6" s="227" customFormat="1">
      <c r="A14" s="228"/>
      <c r="B14" s="212"/>
      <c r="C14" s="234"/>
      <c r="D14" s="287"/>
      <c r="E14" s="287"/>
      <c r="F14" s="1191"/>
    </row>
    <row r="15" spans="1:6" s="227" customFormat="1" ht="29">
      <c r="A15" s="228"/>
      <c r="B15" s="242" t="s">
        <v>650</v>
      </c>
      <c r="C15" s="234"/>
      <c r="D15" s="287"/>
      <c r="E15" s="287"/>
      <c r="F15" s="1191"/>
    </row>
    <row r="16" spans="1:6" s="227" customFormat="1" ht="29">
      <c r="A16" s="228">
        <v>9.4</v>
      </c>
      <c r="B16" s="241" t="s">
        <v>651</v>
      </c>
      <c r="C16" s="234"/>
      <c r="D16" s="287"/>
      <c r="E16" s="287"/>
      <c r="F16" s="1191"/>
    </row>
    <row r="17" spans="1:6" s="227" customFormat="1" ht="29">
      <c r="A17" s="228"/>
      <c r="B17" s="241" t="s">
        <v>652</v>
      </c>
      <c r="C17" s="234" t="s">
        <v>425</v>
      </c>
      <c r="D17" s="287">
        <v>1</v>
      </c>
      <c r="E17" s="287"/>
      <c r="F17" s="1191">
        <f>E17*D17</f>
        <v>0</v>
      </c>
    </row>
    <row r="18" spans="1:6" s="227" customFormat="1" ht="29">
      <c r="A18" s="228">
        <v>9.5</v>
      </c>
      <c r="B18" s="241" t="s">
        <v>653</v>
      </c>
      <c r="C18" s="234"/>
      <c r="D18" s="287"/>
      <c r="E18" s="287"/>
      <c r="F18" s="1191"/>
    </row>
    <row r="19" spans="1:6" s="227" customFormat="1" ht="29">
      <c r="A19" s="228"/>
      <c r="B19" s="241" t="s">
        <v>654</v>
      </c>
      <c r="C19" s="234" t="s">
        <v>425</v>
      </c>
      <c r="D19" s="287">
        <v>2</v>
      </c>
      <c r="E19" s="287"/>
      <c r="F19" s="1191">
        <f>E19*D19</f>
        <v>0</v>
      </c>
    </row>
    <row r="20" spans="1:6" s="227" customFormat="1" ht="29">
      <c r="A20" s="228">
        <v>9.6</v>
      </c>
      <c r="B20" s="241" t="s">
        <v>655</v>
      </c>
      <c r="C20" s="234"/>
      <c r="D20" s="287"/>
      <c r="E20" s="287"/>
      <c r="F20" s="1191"/>
    </row>
    <row r="21" spans="1:6" s="227" customFormat="1">
      <c r="A21" s="228"/>
      <c r="B21" s="241" t="s">
        <v>656</v>
      </c>
      <c r="C21" s="234" t="s">
        <v>425</v>
      </c>
      <c r="D21" s="287">
        <v>2</v>
      </c>
      <c r="E21" s="287"/>
      <c r="F21" s="1191">
        <f>E21*D21</f>
        <v>0</v>
      </c>
    </row>
    <row r="22" spans="1:6" s="227" customFormat="1" ht="29">
      <c r="A22" s="228">
        <v>9.6999999999999993</v>
      </c>
      <c r="B22" s="241" t="s">
        <v>657</v>
      </c>
      <c r="C22" s="234"/>
      <c r="D22" s="287"/>
      <c r="E22" s="287"/>
      <c r="F22" s="1191"/>
    </row>
    <row r="23" spans="1:6" s="227" customFormat="1">
      <c r="A23" s="228"/>
      <c r="B23" s="241" t="s">
        <v>658</v>
      </c>
      <c r="C23" s="234" t="s">
        <v>425</v>
      </c>
      <c r="D23" s="287">
        <v>1</v>
      </c>
      <c r="E23" s="287"/>
      <c r="F23" s="1191">
        <f>E23*D23</f>
        <v>0</v>
      </c>
    </row>
    <row r="24" spans="1:6" s="227" customFormat="1">
      <c r="A24" s="228"/>
      <c r="B24" s="241"/>
      <c r="C24" s="234"/>
      <c r="D24" s="287"/>
      <c r="E24" s="287"/>
      <c r="F24" s="1191"/>
    </row>
    <row r="25" spans="1:6" s="227" customFormat="1">
      <c r="A25" s="228"/>
      <c r="B25" s="242" t="s">
        <v>659</v>
      </c>
      <c r="C25" s="234"/>
      <c r="D25" s="287"/>
      <c r="E25" s="287"/>
      <c r="F25" s="1191"/>
    </row>
    <row r="26" spans="1:6" s="227" customFormat="1" ht="43.5">
      <c r="A26" s="228"/>
      <c r="B26" s="243" t="s">
        <v>660</v>
      </c>
      <c r="C26" s="234"/>
      <c r="D26" s="287"/>
      <c r="E26" s="287"/>
      <c r="F26" s="1191"/>
    </row>
    <row r="27" spans="1:6" s="227" customFormat="1">
      <c r="A27" s="228">
        <v>9.8000000000000007</v>
      </c>
      <c r="B27" s="244" t="s">
        <v>661</v>
      </c>
      <c r="C27" s="234" t="s">
        <v>19</v>
      </c>
      <c r="D27" s="287">
        <f>200</f>
        <v>200</v>
      </c>
      <c r="E27" s="287"/>
      <c r="F27" s="1191">
        <f>E27*D27</f>
        <v>0</v>
      </c>
    </row>
    <row r="28" spans="1:6" s="227" customFormat="1">
      <c r="A28" s="228"/>
      <c r="B28" s="240"/>
      <c r="C28" s="204"/>
      <c r="D28" s="287"/>
      <c r="E28" s="287"/>
      <c r="F28" s="1191"/>
    </row>
    <row r="29" spans="1:6" s="227" customFormat="1">
      <c r="A29" s="228"/>
      <c r="B29" s="240" t="s">
        <v>662</v>
      </c>
      <c r="C29" s="204"/>
      <c r="D29" s="287"/>
      <c r="E29" s="287"/>
      <c r="F29" s="1191"/>
    </row>
    <row r="30" spans="1:6" s="227" customFormat="1">
      <c r="A30" s="228"/>
      <c r="B30" s="240" t="s">
        <v>663</v>
      </c>
      <c r="C30" s="204"/>
      <c r="D30" s="287"/>
      <c r="E30" s="287"/>
      <c r="F30" s="1191"/>
    </row>
    <row r="31" spans="1:6" s="227" customFormat="1" ht="29">
      <c r="A31" s="286">
        <v>9.9</v>
      </c>
      <c r="B31" s="246" t="s">
        <v>664</v>
      </c>
      <c r="C31" s="228" t="s">
        <v>33</v>
      </c>
      <c r="D31" s="287">
        <f>4/2</f>
        <v>2</v>
      </c>
      <c r="E31" s="287"/>
      <c r="F31" s="1191">
        <f>E31*D31</f>
        <v>0</v>
      </c>
    </row>
    <row r="32" spans="1:6" s="227" customFormat="1" ht="23" customHeight="1">
      <c r="A32" s="245"/>
      <c r="B32" s="290" t="s">
        <v>665</v>
      </c>
      <c r="C32" s="234"/>
      <c r="D32" s="287"/>
      <c r="E32" s="287"/>
      <c r="F32" s="1191"/>
    </row>
    <row r="33" spans="1:11" s="227" customFormat="1">
      <c r="A33" s="245">
        <v>9.1</v>
      </c>
      <c r="B33" s="236" t="s">
        <v>666</v>
      </c>
      <c r="C33" s="234" t="s">
        <v>33</v>
      </c>
      <c r="D33" s="287">
        <f>32/2</f>
        <v>16</v>
      </c>
      <c r="E33" s="287"/>
      <c r="F33" s="1191">
        <f>E33*D33</f>
        <v>0</v>
      </c>
    </row>
    <row r="34" spans="1:11" s="227" customFormat="1">
      <c r="A34" s="245">
        <v>9.11</v>
      </c>
      <c r="B34" s="236" t="s">
        <v>667</v>
      </c>
      <c r="C34" s="234" t="s">
        <v>33</v>
      </c>
      <c r="D34" s="287">
        <f>10/2</f>
        <v>5</v>
      </c>
      <c r="E34" s="287"/>
      <c r="F34" s="1191">
        <f>E34*D34</f>
        <v>0</v>
      </c>
    </row>
    <row r="35" spans="1:11" s="227" customFormat="1">
      <c r="A35" s="245">
        <v>9.1199999999999992</v>
      </c>
      <c r="B35" s="236" t="s">
        <v>668</v>
      </c>
      <c r="C35" s="234" t="s">
        <v>33</v>
      </c>
      <c r="D35" s="287">
        <f>5/2</f>
        <v>2.5</v>
      </c>
      <c r="E35" s="287"/>
      <c r="F35" s="1191">
        <f>D35*E35</f>
        <v>0</v>
      </c>
    </row>
    <row r="36" spans="1:11" s="227" customFormat="1">
      <c r="A36" s="245">
        <v>9.1300000000000008</v>
      </c>
      <c r="B36" s="235" t="s">
        <v>669</v>
      </c>
      <c r="C36" s="228" t="s">
        <v>33</v>
      </c>
      <c r="D36" s="287">
        <f>13/2</f>
        <v>6.5</v>
      </c>
      <c r="E36" s="287"/>
      <c r="F36" s="1191">
        <f>E36*D36</f>
        <v>0</v>
      </c>
    </row>
    <row r="37" spans="1:11" s="227" customFormat="1">
      <c r="A37" s="245">
        <v>9.14</v>
      </c>
      <c r="B37" s="235" t="s">
        <v>670</v>
      </c>
      <c r="C37" s="228" t="s">
        <v>33</v>
      </c>
      <c r="D37" s="287">
        <f>80/2</f>
        <v>40</v>
      </c>
      <c r="E37" s="287"/>
      <c r="F37" s="1191">
        <f>E37*D37</f>
        <v>0</v>
      </c>
    </row>
    <row r="38" spans="1:11" s="239" customFormat="1">
      <c r="A38" s="247"/>
      <c r="B38" s="291" t="s">
        <v>649</v>
      </c>
      <c r="C38" s="238"/>
      <c r="D38" s="238"/>
      <c r="E38" s="204"/>
      <c r="F38" s="1192">
        <f>SUM(F16:F37)</f>
        <v>0</v>
      </c>
    </row>
    <row r="39" spans="1:11" s="227" customFormat="1">
      <c r="A39" s="223" t="s">
        <v>0</v>
      </c>
      <c r="B39" s="224" t="s">
        <v>1</v>
      </c>
      <c r="C39" s="223" t="s">
        <v>2</v>
      </c>
      <c r="D39" s="225" t="s">
        <v>642</v>
      </c>
      <c r="E39" s="226" t="s">
        <v>368</v>
      </c>
      <c r="F39" s="1188" t="s">
        <v>643</v>
      </c>
    </row>
    <row r="40" spans="1:11" s="227" customFormat="1">
      <c r="A40" s="245"/>
      <c r="B40" s="212" t="s">
        <v>793</v>
      </c>
      <c r="C40" s="234"/>
      <c r="D40" s="234"/>
      <c r="E40" s="228"/>
      <c r="F40" s="1193"/>
    </row>
    <row r="41" spans="1:11" s="227" customFormat="1">
      <c r="A41" s="245"/>
      <c r="B41" s="212"/>
      <c r="C41" s="234"/>
      <c r="D41" s="234"/>
      <c r="E41" s="228"/>
      <c r="F41" s="1193"/>
    </row>
    <row r="42" spans="1:11" s="227" customFormat="1">
      <c r="A42" s="245"/>
      <c r="B42" s="243" t="s">
        <v>671</v>
      </c>
      <c r="C42" s="234"/>
      <c r="D42" s="234"/>
      <c r="E42" s="228"/>
      <c r="F42" s="1193"/>
    </row>
    <row r="43" spans="1:11" s="227" customFormat="1" ht="29">
      <c r="A43" s="245"/>
      <c r="B43" s="249" t="s">
        <v>672</v>
      </c>
      <c r="C43" s="234"/>
      <c r="D43" s="234"/>
      <c r="E43" s="228"/>
      <c r="F43" s="1193"/>
    </row>
    <row r="44" spans="1:11" s="227" customFormat="1">
      <c r="A44" s="245"/>
      <c r="B44" s="249" t="s">
        <v>54</v>
      </c>
      <c r="C44" s="234"/>
      <c r="D44" s="234"/>
      <c r="E44" s="228"/>
      <c r="F44" s="1191"/>
    </row>
    <row r="45" spans="1:11" s="227" customFormat="1">
      <c r="A45" s="245">
        <v>9.15</v>
      </c>
      <c r="B45" s="250" t="s">
        <v>673</v>
      </c>
      <c r="C45" s="234"/>
      <c r="D45" s="287"/>
      <c r="E45" s="287"/>
      <c r="F45" s="1191"/>
      <c r="H45" s="251"/>
      <c r="I45" s="251"/>
      <c r="J45" s="251"/>
      <c r="K45" s="251"/>
    </row>
    <row r="46" spans="1:11" s="227" customFormat="1">
      <c r="A46" s="245"/>
      <c r="B46" s="250" t="s">
        <v>674</v>
      </c>
      <c r="C46" s="234" t="s">
        <v>425</v>
      </c>
      <c r="D46" s="287">
        <f>CEILING(1.68,1)</f>
        <v>2</v>
      </c>
      <c r="E46" s="287"/>
      <c r="F46" s="1191">
        <f>E46*D46</f>
        <v>0</v>
      </c>
      <c r="H46" s="251"/>
      <c r="I46" s="251"/>
      <c r="J46" s="251"/>
      <c r="K46" s="251"/>
    </row>
    <row r="47" spans="1:11" s="227" customFormat="1">
      <c r="A47" s="245">
        <v>9.16</v>
      </c>
      <c r="B47" s="241" t="s">
        <v>759</v>
      </c>
      <c r="C47" s="234" t="s">
        <v>675</v>
      </c>
      <c r="D47" s="287">
        <v>150</v>
      </c>
      <c r="E47" s="287"/>
      <c r="F47" s="1191">
        <f>E47*D47</f>
        <v>0</v>
      </c>
      <c r="H47" s="251"/>
      <c r="I47" s="251"/>
      <c r="J47" s="251"/>
      <c r="K47" s="251"/>
    </row>
    <row r="48" spans="1:11" s="227" customFormat="1">
      <c r="A48" s="245"/>
      <c r="B48" s="250"/>
      <c r="C48" s="234"/>
      <c r="D48" s="228"/>
      <c r="E48" s="228"/>
      <c r="F48" s="1191"/>
      <c r="H48" s="251"/>
      <c r="I48" s="251"/>
      <c r="J48" s="251"/>
      <c r="K48" s="251"/>
    </row>
    <row r="49" spans="1:11" s="239" customFormat="1">
      <c r="A49" s="247"/>
      <c r="B49" s="291" t="s">
        <v>649</v>
      </c>
      <c r="C49" s="238"/>
      <c r="D49" s="252"/>
      <c r="E49" s="204"/>
      <c r="F49" s="1192">
        <f>F46+F47</f>
        <v>0</v>
      </c>
      <c r="H49" s="253"/>
      <c r="I49" s="253"/>
      <c r="J49" s="253"/>
      <c r="K49" s="253"/>
    </row>
    <row r="50" spans="1:11" s="227" customFormat="1">
      <c r="A50" s="245"/>
      <c r="B50" s="240"/>
      <c r="C50" s="234"/>
      <c r="D50" s="254"/>
      <c r="E50" s="228"/>
      <c r="F50" s="1191"/>
      <c r="H50" s="251"/>
      <c r="I50" s="251"/>
      <c r="J50" s="251"/>
      <c r="K50" s="251"/>
    </row>
    <row r="51" spans="1:11" s="227" customFormat="1">
      <c r="A51" s="245"/>
      <c r="B51" s="212" t="s">
        <v>794</v>
      </c>
      <c r="C51" s="234"/>
      <c r="D51" s="254"/>
      <c r="E51" s="228"/>
      <c r="F51" s="1191"/>
    </row>
    <row r="52" spans="1:11" s="227" customFormat="1">
      <c r="A52" s="245"/>
      <c r="B52" s="212"/>
      <c r="C52" s="234"/>
      <c r="D52" s="254"/>
      <c r="E52" s="228"/>
      <c r="F52" s="1193"/>
    </row>
    <row r="53" spans="1:11" s="227" customFormat="1">
      <c r="A53" s="292"/>
      <c r="B53" s="249" t="s">
        <v>676</v>
      </c>
      <c r="C53" s="293"/>
      <c r="D53" s="294"/>
      <c r="E53" s="294"/>
      <c r="F53" s="1191"/>
    </row>
    <row r="54" spans="1:11" s="227" customFormat="1" ht="18" customHeight="1">
      <c r="A54" s="292"/>
      <c r="B54" s="212" t="s">
        <v>677</v>
      </c>
      <c r="C54" s="293"/>
      <c r="D54" s="294"/>
      <c r="E54" s="294"/>
      <c r="F54" s="1191">
        <f t="shared" ref="F54" si="0">C54*E54</f>
        <v>0</v>
      </c>
    </row>
    <row r="55" spans="1:11" s="227" customFormat="1">
      <c r="A55" s="292"/>
      <c r="B55" s="212" t="s">
        <v>678</v>
      </c>
      <c r="C55" s="293"/>
      <c r="D55" s="294"/>
      <c r="E55" s="294"/>
      <c r="F55" s="1191"/>
    </row>
    <row r="56" spans="1:11" s="227" customFormat="1">
      <c r="A56" s="292"/>
      <c r="B56" s="212" t="s">
        <v>679</v>
      </c>
      <c r="C56" s="293"/>
      <c r="D56" s="294"/>
      <c r="E56" s="294"/>
      <c r="F56" s="1191"/>
    </row>
    <row r="57" spans="1:11" s="227" customFormat="1">
      <c r="A57" s="292"/>
      <c r="B57" s="212" t="s">
        <v>680</v>
      </c>
      <c r="C57" s="293"/>
      <c r="D57" s="294"/>
      <c r="E57" s="294"/>
      <c r="F57" s="1191"/>
    </row>
    <row r="58" spans="1:11" s="227" customFormat="1">
      <c r="A58" s="292">
        <v>9.17</v>
      </c>
      <c r="B58" s="250" t="s">
        <v>681</v>
      </c>
      <c r="C58" s="293" t="s">
        <v>33</v>
      </c>
      <c r="D58" s="287">
        <v>20</v>
      </c>
      <c r="E58" s="287"/>
      <c r="F58" s="1191">
        <f>E58*D58</f>
        <v>0</v>
      </c>
    </row>
    <row r="59" spans="1:11" s="227" customFormat="1">
      <c r="A59" s="292"/>
      <c r="B59" s="249" t="s">
        <v>682</v>
      </c>
      <c r="C59" s="293"/>
      <c r="D59" s="287"/>
      <c r="E59" s="287"/>
      <c r="F59" s="1191"/>
    </row>
    <row r="60" spans="1:11" s="227" customFormat="1">
      <c r="A60" s="292"/>
      <c r="B60" s="212" t="s">
        <v>683</v>
      </c>
      <c r="C60" s="293"/>
      <c r="D60" s="287"/>
      <c r="E60" s="287"/>
      <c r="F60" s="1191"/>
    </row>
    <row r="61" spans="1:11" s="227" customFormat="1">
      <c r="A61" s="292"/>
      <c r="B61" s="212" t="s">
        <v>684</v>
      </c>
      <c r="C61" s="293"/>
      <c r="D61" s="287"/>
      <c r="E61" s="287"/>
      <c r="F61" s="1191"/>
    </row>
    <row r="62" spans="1:11" s="227" customFormat="1">
      <c r="A62" s="292">
        <v>9.18</v>
      </c>
      <c r="B62" s="250" t="s">
        <v>685</v>
      </c>
      <c r="C62" s="293" t="str">
        <f>C58</f>
        <v>SM</v>
      </c>
      <c r="D62" s="287">
        <f>D58</f>
        <v>20</v>
      </c>
      <c r="E62" s="287"/>
      <c r="F62" s="1191">
        <f>E62*D62</f>
        <v>0</v>
      </c>
    </row>
    <row r="63" spans="1:11" s="227" customFormat="1">
      <c r="A63" s="295"/>
      <c r="B63" s="244" t="s">
        <v>686</v>
      </c>
      <c r="C63" s="256"/>
      <c r="D63" s="287"/>
      <c r="E63" s="287"/>
      <c r="F63" s="1191"/>
    </row>
    <row r="64" spans="1:11" s="227" customFormat="1">
      <c r="A64" s="295"/>
      <c r="B64" s="244" t="s">
        <v>687</v>
      </c>
      <c r="C64" s="256"/>
      <c r="D64" s="287"/>
      <c r="E64" s="287"/>
      <c r="F64" s="1191"/>
    </row>
    <row r="65" spans="1:6" s="227" customFormat="1">
      <c r="A65" s="295"/>
      <c r="B65" s="242" t="s">
        <v>688</v>
      </c>
      <c r="C65" s="256"/>
      <c r="D65" s="287"/>
      <c r="E65" s="287"/>
      <c r="F65" s="1191"/>
    </row>
    <row r="66" spans="1:6" s="227" customFormat="1">
      <c r="A66" s="295">
        <v>9.19</v>
      </c>
      <c r="B66" s="241" t="s">
        <v>689</v>
      </c>
      <c r="C66" s="294" t="s">
        <v>33</v>
      </c>
      <c r="D66" s="287">
        <v>4</v>
      </c>
      <c r="E66" s="287"/>
      <c r="F66" s="1191">
        <f>E66*D66</f>
        <v>0</v>
      </c>
    </row>
    <row r="67" spans="1:6" s="227" customFormat="1" ht="18.649999999999999" customHeight="1">
      <c r="A67" s="295"/>
      <c r="B67" s="241" t="s">
        <v>690</v>
      </c>
      <c r="C67" s="256"/>
      <c r="D67" s="287"/>
      <c r="E67" s="287"/>
      <c r="F67" s="1191"/>
    </row>
    <row r="68" spans="1:6" s="227" customFormat="1">
      <c r="A68" s="295"/>
      <c r="B68" s="241" t="s">
        <v>691</v>
      </c>
      <c r="C68" s="256"/>
      <c r="D68" s="287"/>
      <c r="E68" s="287"/>
      <c r="F68" s="1191"/>
    </row>
    <row r="69" spans="1:6" s="239" customFormat="1">
      <c r="A69" s="247"/>
      <c r="B69" s="291" t="s">
        <v>649</v>
      </c>
      <c r="C69" s="238"/>
      <c r="D69" s="289"/>
      <c r="E69" s="289"/>
      <c r="F69" s="1192">
        <f>F58+F62+F66</f>
        <v>0</v>
      </c>
    </row>
    <row r="70" spans="1:6" s="227" customFormat="1">
      <c r="A70" s="245"/>
      <c r="B70" s="212"/>
      <c r="C70" s="234"/>
      <c r="D70" s="234"/>
      <c r="E70" s="228"/>
      <c r="F70" s="1193"/>
    </row>
    <row r="71" spans="1:6" s="227" customFormat="1">
      <c r="A71" s="245"/>
      <c r="B71" s="212" t="s">
        <v>795</v>
      </c>
      <c r="C71" s="234"/>
      <c r="D71" s="234"/>
      <c r="E71" s="228"/>
      <c r="F71" s="1193"/>
    </row>
    <row r="72" spans="1:6" s="227" customFormat="1">
      <c r="A72" s="245">
        <v>9.1999999999999993</v>
      </c>
      <c r="B72" s="241" t="s">
        <v>692</v>
      </c>
      <c r="C72" s="234"/>
      <c r="D72" s="234"/>
      <c r="E72" s="228"/>
      <c r="F72" s="1193"/>
    </row>
    <row r="73" spans="1:6" s="227" customFormat="1">
      <c r="A73" s="245"/>
      <c r="B73" s="241" t="s">
        <v>693</v>
      </c>
      <c r="C73" s="234" t="s">
        <v>387</v>
      </c>
      <c r="D73" s="287">
        <v>1</v>
      </c>
      <c r="E73" s="287"/>
      <c r="F73" s="1191">
        <f>E73*D73</f>
        <v>0</v>
      </c>
    </row>
    <row r="74" spans="1:6" s="227" customFormat="1">
      <c r="A74" s="245"/>
      <c r="B74" s="241" t="s">
        <v>694</v>
      </c>
      <c r="C74" s="234"/>
      <c r="D74" s="287"/>
      <c r="E74" s="287"/>
      <c r="F74" s="1191"/>
    </row>
    <row r="75" spans="1:6" s="227" customFormat="1">
      <c r="A75" s="245"/>
      <c r="B75" s="296" t="s">
        <v>649</v>
      </c>
      <c r="C75" s="234"/>
      <c r="D75" s="287"/>
      <c r="E75" s="287"/>
      <c r="F75" s="1192">
        <f>F73</f>
        <v>0</v>
      </c>
    </row>
    <row r="76" spans="1:6" s="227" customFormat="1">
      <c r="A76" s="245"/>
      <c r="B76" s="240"/>
      <c r="C76" s="234"/>
      <c r="D76" s="234"/>
      <c r="E76" s="228"/>
      <c r="F76" s="1193"/>
    </row>
    <row r="77" spans="1:6" s="227" customFormat="1">
      <c r="A77" s="245"/>
      <c r="B77" s="212" t="s">
        <v>796</v>
      </c>
      <c r="C77" s="234"/>
      <c r="D77" s="210"/>
      <c r="E77" s="228"/>
      <c r="F77" s="1193"/>
    </row>
    <row r="78" spans="1:6" s="227" customFormat="1">
      <c r="A78" s="245"/>
      <c r="B78" s="241"/>
      <c r="C78" s="234"/>
      <c r="D78" s="287"/>
      <c r="E78" s="287"/>
      <c r="F78" s="1191"/>
    </row>
    <row r="79" spans="1:6" s="227" customFormat="1" ht="29">
      <c r="A79" s="245">
        <v>9.2100000000000009</v>
      </c>
      <c r="B79" s="255" t="s">
        <v>695</v>
      </c>
      <c r="C79" s="234"/>
      <c r="D79" s="287"/>
      <c r="E79" s="287"/>
      <c r="F79" s="1191"/>
    </row>
    <row r="80" spans="1:6" s="227" customFormat="1">
      <c r="A80" s="245"/>
      <c r="B80" s="255" t="s">
        <v>696</v>
      </c>
      <c r="C80" s="256" t="s">
        <v>5</v>
      </c>
      <c r="D80" s="287">
        <v>4</v>
      </c>
      <c r="E80" s="287"/>
      <c r="F80" s="1191">
        <f>E80*D80</f>
        <v>0</v>
      </c>
    </row>
    <row r="81" spans="1:9" s="227" customFormat="1">
      <c r="A81" s="245"/>
      <c r="B81" s="257"/>
      <c r="C81" s="234"/>
      <c r="D81" s="287"/>
      <c r="E81" s="287"/>
      <c r="F81" s="1191"/>
    </row>
    <row r="82" spans="1:9" s="227" customFormat="1">
      <c r="A82" s="245"/>
      <c r="B82" s="291" t="s">
        <v>649</v>
      </c>
      <c r="C82" s="234"/>
      <c r="D82" s="287"/>
      <c r="E82" s="287"/>
      <c r="F82" s="1192">
        <f>F80</f>
        <v>0</v>
      </c>
    </row>
    <row r="83" spans="1:9" s="227" customFormat="1">
      <c r="A83" s="245"/>
      <c r="B83" s="297"/>
      <c r="C83" s="234"/>
      <c r="D83" s="287"/>
      <c r="E83" s="287"/>
      <c r="F83" s="1191"/>
    </row>
    <row r="84" spans="1:9" s="227" customFormat="1">
      <c r="A84" s="245"/>
      <c r="B84" s="212" t="s">
        <v>60</v>
      </c>
      <c r="C84" s="209"/>
      <c r="D84" s="260"/>
      <c r="E84" s="294"/>
      <c r="F84" s="1191"/>
      <c r="G84" s="182"/>
      <c r="H84" s="115"/>
      <c r="I84" s="251"/>
    </row>
    <row r="85" spans="1:9" s="227" customFormat="1">
      <c r="A85" s="245"/>
      <c r="B85" s="212"/>
      <c r="C85" s="209"/>
      <c r="D85" s="260"/>
      <c r="E85" s="294"/>
      <c r="F85" s="1191"/>
      <c r="G85" s="182"/>
      <c r="H85" s="115"/>
      <c r="I85" s="251"/>
    </row>
    <row r="86" spans="1:9" s="227" customFormat="1">
      <c r="A86" s="245"/>
      <c r="B86" s="212" t="s">
        <v>1929</v>
      </c>
      <c r="C86" s="209"/>
      <c r="D86" s="298"/>
      <c r="E86" s="294"/>
      <c r="F86" s="1191"/>
      <c r="G86" s="182"/>
      <c r="H86" s="115"/>
      <c r="I86" s="251"/>
    </row>
    <row r="87" spans="1:9" s="227" customFormat="1">
      <c r="A87" s="245"/>
      <c r="B87" s="212" t="s">
        <v>697</v>
      </c>
      <c r="C87" s="294"/>
      <c r="D87" s="299" t="s">
        <v>61</v>
      </c>
      <c r="E87" s="229"/>
      <c r="F87" s="1194" t="s">
        <v>698</v>
      </c>
      <c r="G87" s="251"/>
      <c r="H87" s="251"/>
      <c r="I87" s="251"/>
    </row>
    <row r="88" spans="1:9" s="227" customFormat="1">
      <c r="A88" s="245"/>
      <c r="B88" s="300"/>
      <c r="C88" s="294"/>
      <c r="D88" s="210"/>
      <c r="E88" s="229"/>
      <c r="F88" s="1191"/>
      <c r="G88" s="251"/>
      <c r="H88" s="251"/>
      <c r="I88" s="251"/>
    </row>
    <row r="89" spans="1:9" s="227" customFormat="1">
      <c r="A89" s="245"/>
      <c r="B89" s="212"/>
      <c r="C89" s="294"/>
      <c r="D89" s="210"/>
      <c r="E89" s="229"/>
      <c r="F89" s="1191"/>
      <c r="G89" s="251"/>
      <c r="H89" s="251"/>
      <c r="I89" s="251"/>
    </row>
    <row r="90" spans="1:9" s="227" customFormat="1">
      <c r="A90" s="245"/>
      <c r="B90" s="302">
        <v>1</v>
      </c>
      <c r="C90" s="294"/>
      <c r="D90" s="303" t="s">
        <v>699</v>
      </c>
      <c r="E90" s="304"/>
      <c r="F90" s="1191">
        <f>F11</f>
        <v>0</v>
      </c>
      <c r="G90" s="251"/>
      <c r="H90" s="251"/>
      <c r="I90" s="251"/>
    </row>
    <row r="91" spans="1:9" s="227" customFormat="1">
      <c r="A91" s="245"/>
      <c r="B91" s="302"/>
      <c r="C91" s="294"/>
      <c r="D91" s="303"/>
      <c r="E91" s="304"/>
      <c r="F91" s="1191"/>
      <c r="G91" s="251"/>
      <c r="H91" s="251"/>
      <c r="I91" s="251"/>
    </row>
    <row r="92" spans="1:9" s="227" customFormat="1">
      <c r="A92" s="245"/>
      <c r="B92" s="302">
        <v>2</v>
      </c>
      <c r="C92" s="228"/>
      <c r="D92" s="303" t="s">
        <v>700</v>
      </c>
      <c r="E92" s="228"/>
      <c r="F92" s="1191">
        <f>F38</f>
        <v>0</v>
      </c>
    </row>
    <row r="93" spans="1:9" s="227" customFormat="1">
      <c r="A93" s="245"/>
      <c r="B93" s="235"/>
      <c r="C93" s="228"/>
      <c r="D93" s="234"/>
      <c r="E93" s="228"/>
      <c r="F93" s="1191"/>
    </row>
    <row r="94" spans="1:9" s="227" customFormat="1">
      <c r="A94" s="245"/>
      <c r="B94" s="302">
        <v>3</v>
      </c>
      <c r="C94" s="228"/>
      <c r="D94" s="303" t="s">
        <v>701</v>
      </c>
      <c r="E94" s="228"/>
      <c r="F94" s="1191">
        <f>F49</f>
        <v>0</v>
      </c>
    </row>
    <row r="95" spans="1:9" s="227" customFormat="1">
      <c r="A95" s="245"/>
      <c r="B95" s="302"/>
      <c r="C95" s="228"/>
      <c r="D95" s="234"/>
      <c r="E95" s="228"/>
      <c r="F95" s="1191"/>
    </row>
    <row r="96" spans="1:9" s="227" customFormat="1">
      <c r="A96" s="245"/>
      <c r="B96" s="302">
        <v>4</v>
      </c>
      <c r="C96" s="228"/>
      <c r="D96" s="303" t="s">
        <v>702</v>
      </c>
      <c r="E96" s="228"/>
      <c r="F96" s="1191">
        <f>F69</f>
        <v>0</v>
      </c>
    </row>
    <row r="97" spans="1:6" s="227" customFormat="1">
      <c r="A97" s="245"/>
      <c r="B97" s="302"/>
      <c r="C97" s="228"/>
      <c r="D97" s="234"/>
      <c r="E97" s="228"/>
      <c r="F97" s="1191"/>
    </row>
    <row r="98" spans="1:6" s="227" customFormat="1">
      <c r="A98" s="245"/>
      <c r="B98" s="302">
        <v>5</v>
      </c>
      <c r="C98" s="228"/>
      <c r="D98" s="303" t="s">
        <v>703</v>
      </c>
      <c r="E98" s="228"/>
      <c r="F98" s="1191">
        <f>F75</f>
        <v>0</v>
      </c>
    </row>
    <row r="99" spans="1:6" s="227" customFormat="1">
      <c r="A99" s="245"/>
      <c r="B99" s="302"/>
      <c r="C99" s="228"/>
      <c r="D99" s="234"/>
      <c r="E99" s="228"/>
      <c r="F99" s="1191"/>
    </row>
    <row r="100" spans="1:6" s="227" customFormat="1">
      <c r="A100" s="245"/>
      <c r="B100" s="302">
        <v>6</v>
      </c>
      <c r="C100" s="228"/>
      <c r="D100" s="303" t="s">
        <v>704</v>
      </c>
      <c r="E100" s="228"/>
      <c r="F100" s="1191">
        <f>F82</f>
        <v>0</v>
      </c>
    </row>
    <row r="101" spans="1:6" s="227" customFormat="1">
      <c r="A101" s="245"/>
      <c r="B101" s="302"/>
      <c r="C101" s="228"/>
      <c r="D101" s="234"/>
      <c r="E101" s="228"/>
      <c r="F101" s="1195"/>
    </row>
    <row r="102" spans="1:6" s="227" customFormat="1">
      <c r="A102" s="245"/>
      <c r="B102" s="302"/>
      <c r="C102" s="228"/>
      <c r="D102" s="234"/>
      <c r="E102" s="228"/>
      <c r="F102" s="1195"/>
    </row>
    <row r="103" spans="1:6" s="227" customFormat="1">
      <c r="A103" s="228"/>
      <c r="B103" s="302"/>
      <c r="C103" s="228"/>
      <c r="D103" s="234"/>
      <c r="E103" s="228"/>
      <c r="F103" s="1195"/>
    </row>
    <row r="104" spans="1:6" s="227" customFormat="1">
      <c r="A104" s="228"/>
      <c r="B104" s="203" t="s">
        <v>705</v>
      </c>
      <c r="C104" s="228"/>
      <c r="D104" s="234"/>
      <c r="E104" s="228"/>
      <c r="F104" s="1192">
        <f>SUM(F90:F103)</f>
        <v>0</v>
      </c>
    </row>
    <row r="105" spans="1:6" s="227" customFormat="1">
      <c r="A105" s="228"/>
      <c r="B105" s="235"/>
      <c r="C105" s="228"/>
      <c r="D105" s="234"/>
      <c r="E105" s="228"/>
      <c r="F105" s="1192"/>
    </row>
    <row r="106" spans="1:6" s="227" customFormat="1">
      <c r="A106" s="228"/>
      <c r="B106" s="240" t="s">
        <v>706</v>
      </c>
      <c r="C106" s="228"/>
      <c r="D106" s="234"/>
      <c r="E106" s="228"/>
      <c r="F106" s="1192">
        <f>F104*4</f>
        <v>0</v>
      </c>
    </row>
  </sheetData>
  <conditionalFormatting sqref="F32:F34">
    <cfRule type="cellIs" dxfId="1" priority="1" stopIfTrue="1" operator="equal">
      <formula>0</formula>
    </cfRule>
  </conditionalFormatting>
  <pageMargins left="0.7" right="0.7" top="0.75" bottom="0.75" header="0.3" footer="0.3"/>
  <pageSetup scale="70" orientation="portrait" horizontalDpi="300" verticalDpi="300" r:id="rId1"/>
  <rowBreaks count="2" manualBreakCount="2">
    <brk id="38" max="16383" man="1"/>
    <brk id="83" max="16383" man="1"/>
  </rowBreaks>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view="pageBreakPreview" zoomScaleNormal="100" zoomScaleSheetLayoutView="100" workbookViewId="0">
      <selection activeCell="G1" sqref="G1:N1048576"/>
    </sheetView>
  </sheetViews>
  <sheetFormatPr defaultColWidth="9.08984375" defaultRowHeight="14.5"/>
  <cols>
    <col min="1" max="1" width="7.36328125" style="137" bestFit="1" customWidth="1"/>
    <col min="2" max="2" width="50.6328125" style="137" customWidth="1"/>
    <col min="3" max="3" width="5.36328125" style="137" bestFit="1" customWidth="1"/>
    <col min="4" max="4" width="4.6328125" style="437" bestFit="1" customWidth="1"/>
    <col min="5" max="5" width="8.453125" style="137" bestFit="1" customWidth="1"/>
    <col min="6" max="6" width="9.81640625" style="438" bestFit="1" customWidth="1"/>
    <col min="7" max="16384" width="9.08984375" style="137"/>
  </cols>
  <sheetData>
    <row r="1" spans="1:6" s="11" customFormat="1">
      <c r="A1" s="388"/>
      <c r="B1" s="388"/>
      <c r="C1" s="388"/>
      <c r="D1" s="389"/>
      <c r="E1" s="388"/>
      <c r="F1" s="390"/>
    </row>
    <row r="2" spans="1:6" s="11" customFormat="1">
      <c r="A2" s="391" t="s">
        <v>633</v>
      </c>
      <c r="B2" s="391" t="s">
        <v>760</v>
      </c>
      <c r="C2" s="391" t="s">
        <v>761</v>
      </c>
      <c r="D2" s="392" t="s">
        <v>762</v>
      </c>
      <c r="E2" s="393" t="s">
        <v>368</v>
      </c>
      <c r="F2" s="394" t="s">
        <v>763</v>
      </c>
    </row>
    <row r="3" spans="1:6" s="11" customFormat="1" ht="15.5">
      <c r="A3" s="395"/>
      <c r="B3" s="130" t="s">
        <v>859</v>
      </c>
      <c r="C3" s="396"/>
      <c r="D3" s="396"/>
      <c r="E3" s="396"/>
      <c r="F3" s="397"/>
    </row>
    <row r="4" spans="1:6" s="11" customFormat="1">
      <c r="A4" s="294"/>
      <c r="B4" s="302"/>
      <c r="C4" s="294"/>
      <c r="D4" s="294"/>
      <c r="E4" s="294"/>
      <c r="F4" s="398"/>
    </row>
    <row r="5" spans="1:6" s="11" customFormat="1">
      <c r="A5" s="441">
        <v>10</v>
      </c>
      <c r="B5" s="400" t="s">
        <v>764</v>
      </c>
      <c r="C5" s="401"/>
      <c r="D5" s="402"/>
      <c r="E5" s="403"/>
      <c r="F5" s="404"/>
    </row>
    <row r="6" spans="1:6" s="11" customFormat="1">
      <c r="A6" s="399"/>
      <c r="B6" s="405"/>
      <c r="C6" s="401"/>
      <c r="D6" s="402"/>
      <c r="E6" s="403"/>
      <c r="F6" s="404"/>
    </row>
    <row r="7" spans="1:6" s="11" customFormat="1">
      <c r="A7" s="399">
        <v>10</v>
      </c>
      <c r="B7" s="400" t="s">
        <v>765</v>
      </c>
      <c r="C7" s="399"/>
      <c r="D7" s="406"/>
      <c r="E7" s="407"/>
      <c r="F7" s="408"/>
    </row>
    <row r="8" spans="1:6" s="11" customFormat="1">
      <c r="A8" s="409"/>
      <c r="B8" s="410" t="s">
        <v>26</v>
      </c>
      <c r="C8" s="411"/>
      <c r="D8" s="412"/>
      <c r="E8" s="413"/>
      <c r="F8" s="414"/>
    </row>
    <row r="9" spans="1:6" s="11" customFormat="1">
      <c r="A9" s="409"/>
      <c r="B9" s="410" t="s">
        <v>27</v>
      </c>
      <c r="C9" s="411"/>
      <c r="D9" s="412"/>
      <c r="E9" s="413"/>
      <c r="F9" s="414"/>
    </row>
    <row r="10" spans="1:6" s="11" customFormat="1" ht="29">
      <c r="A10" s="415">
        <v>10.1</v>
      </c>
      <c r="B10" s="416" t="s">
        <v>766</v>
      </c>
      <c r="C10" s="417" t="s">
        <v>425</v>
      </c>
      <c r="D10" s="418">
        <f>CEILING(1.8*2*7,1)</f>
        <v>26</v>
      </c>
      <c r="E10" s="419"/>
      <c r="F10" s="420">
        <f>D10*E10</f>
        <v>0</v>
      </c>
    </row>
    <row r="11" spans="1:6" s="11" customFormat="1">
      <c r="A11" s="415"/>
      <c r="B11" s="416" t="s">
        <v>767</v>
      </c>
      <c r="C11" s="417"/>
      <c r="D11" s="418"/>
      <c r="E11" s="419"/>
      <c r="F11" s="420"/>
    </row>
    <row r="12" spans="1:6" s="11" customFormat="1" ht="29">
      <c r="A12" s="415">
        <v>10.199999999999999</v>
      </c>
      <c r="B12" s="416" t="s">
        <v>768</v>
      </c>
      <c r="C12" s="417" t="s">
        <v>425</v>
      </c>
      <c r="D12" s="418">
        <f>7*2*1</f>
        <v>14</v>
      </c>
      <c r="E12" s="419"/>
      <c r="F12" s="420">
        <f>D12*E12</f>
        <v>0</v>
      </c>
    </row>
    <row r="13" spans="1:6" s="11" customFormat="1">
      <c r="A13" s="415"/>
      <c r="B13" s="410" t="s">
        <v>769</v>
      </c>
      <c r="C13" s="417"/>
      <c r="D13" s="418"/>
      <c r="E13" s="419"/>
      <c r="F13" s="420"/>
    </row>
    <row r="14" spans="1:6" s="11" customFormat="1" ht="29">
      <c r="A14" s="415">
        <v>10.3</v>
      </c>
      <c r="B14" s="416" t="s">
        <v>770</v>
      </c>
      <c r="C14" s="417" t="s">
        <v>425</v>
      </c>
      <c r="D14" s="418">
        <f>CEILING(2*7*0.13,1)</f>
        <v>2</v>
      </c>
      <c r="E14" s="419"/>
      <c r="F14" s="420">
        <f>D14*E14</f>
        <v>0</v>
      </c>
    </row>
    <row r="15" spans="1:6" s="11" customFormat="1">
      <c r="A15" s="415"/>
      <c r="B15" s="410" t="s">
        <v>771</v>
      </c>
      <c r="C15" s="417"/>
      <c r="D15" s="418"/>
      <c r="E15" s="419"/>
      <c r="F15" s="420"/>
    </row>
    <row r="16" spans="1:6" s="11" customFormat="1">
      <c r="A16" s="415"/>
      <c r="B16" s="410" t="s">
        <v>772</v>
      </c>
      <c r="C16" s="417"/>
      <c r="D16" s="418"/>
      <c r="E16" s="419"/>
      <c r="F16" s="420"/>
    </row>
    <row r="17" spans="1:6" s="11" customFormat="1" ht="43.5">
      <c r="A17" s="415">
        <v>10.4</v>
      </c>
      <c r="B17" s="416" t="s">
        <v>773</v>
      </c>
      <c r="C17" s="417" t="s">
        <v>675</v>
      </c>
      <c r="D17" s="418">
        <v>130</v>
      </c>
      <c r="E17" s="419"/>
      <c r="F17" s="420">
        <f>D17*E17</f>
        <v>0</v>
      </c>
    </row>
    <row r="18" spans="1:6" s="11" customFormat="1">
      <c r="A18" s="415">
        <v>10.5</v>
      </c>
      <c r="B18" s="416" t="s">
        <v>774</v>
      </c>
      <c r="C18" s="417" t="s">
        <v>50</v>
      </c>
      <c r="D18" s="418">
        <v>14</v>
      </c>
      <c r="E18" s="419"/>
      <c r="F18" s="420">
        <f>D18*E18</f>
        <v>0</v>
      </c>
    </row>
    <row r="19" spans="1:6" s="11" customFormat="1">
      <c r="A19" s="415"/>
      <c r="B19" s="421"/>
      <c r="C19" s="417"/>
      <c r="D19" s="418"/>
      <c r="E19" s="419"/>
      <c r="F19" s="420"/>
    </row>
    <row r="20" spans="1:6" s="11" customFormat="1">
      <c r="A20" s="415"/>
      <c r="B20" s="422" t="s">
        <v>775</v>
      </c>
      <c r="C20" s="417"/>
      <c r="D20" s="418"/>
      <c r="E20" s="419"/>
      <c r="F20" s="420"/>
    </row>
    <row r="21" spans="1:6" s="11" customFormat="1">
      <c r="A21" s="415"/>
      <c r="B21" s="410" t="s">
        <v>52</v>
      </c>
      <c r="C21" s="417"/>
      <c r="D21" s="418"/>
      <c r="E21" s="419"/>
      <c r="F21" s="420"/>
    </row>
    <row r="22" spans="1:6" s="11" customFormat="1">
      <c r="A22" s="415"/>
      <c r="B22" s="410" t="s">
        <v>53</v>
      </c>
      <c r="C22" s="417"/>
      <c r="D22" s="418"/>
      <c r="E22" s="419"/>
      <c r="F22" s="420"/>
    </row>
    <row r="23" spans="1:6" s="11" customFormat="1">
      <c r="A23" s="415"/>
      <c r="B23" s="410" t="s">
        <v>54</v>
      </c>
      <c r="C23" s="417"/>
      <c r="D23" s="418"/>
      <c r="E23" s="419"/>
      <c r="F23" s="420"/>
    </row>
    <row r="24" spans="1:6" s="11" customFormat="1">
      <c r="A24" s="415">
        <v>10.6</v>
      </c>
      <c r="B24" s="416" t="s">
        <v>776</v>
      </c>
      <c r="C24" s="417" t="s">
        <v>33</v>
      </c>
      <c r="D24" s="418">
        <f>CEILING(7*2*2.8,1)</f>
        <v>40</v>
      </c>
      <c r="E24" s="419"/>
      <c r="F24" s="420">
        <f>D24*E24</f>
        <v>0</v>
      </c>
    </row>
    <row r="25" spans="1:6" s="11" customFormat="1">
      <c r="A25" s="423"/>
      <c r="B25" s="405" t="s">
        <v>455</v>
      </c>
      <c r="C25" s="424"/>
      <c r="D25" s="425"/>
      <c r="E25" s="426"/>
      <c r="F25" s="427">
        <f>SUM(F7:F24)</f>
        <v>0</v>
      </c>
    </row>
    <row r="26" spans="1:6" s="11" customFormat="1">
      <c r="A26" s="391" t="s">
        <v>633</v>
      </c>
      <c r="B26" s="391" t="s">
        <v>760</v>
      </c>
      <c r="C26" s="391" t="s">
        <v>761</v>
      </c>
      <c r="D26" s="392" t="s">
        <v>762</v>
      </c>
      <c r="E26" s="393" t="s">
        <v>368</v>
      </c>
      <c r="F26" s="394" t="s">
        <v>763</v>
      </c>
    </row>
    <row r="27" spans="1:6" s="11" customFormat="1">
      <c r="A27" s="428"/>
      <c r="B27" s="428" t="s">
        <v>456</v>
      </c>
      <c r="C27" s="428"/>
      <c r="D27" s="429"/>
      <c r="E27" s="430"/>
      <c r="F27" s="431">
        <f>F25</f>
        <v>0</v>
      </c>
    </row>
    <row r="28" spans="1:6" s="11" customFormat="1">
      <c r="A28" s="415"/>
      <c r="B28" s="416"/>
      <c r="C28" s="417"/>
      <c r="D28" s="418"/>
      <c r="E28" s="419"/>
      <c r="F28" s="420"/>
    </row>
    <row r="29" spans="1:6" s="11" customFormat="1">
      <c r="A29" s="415"/>
      <c r="B29" s="400" t="s">
        <v>58</v>
      </c>
      <c r="C29" s="417"/>
      <c r="D29" s="418"/>
      <c r="E29" s="419"/>
      <c r="F29" s="420"/>
    </row>
    <row r="30" spans="1:6" s="11" customFormat="1" ht="43.5">
      <c r="A30" s="415">
        <v>10.7</v>
      </c>
      <c r="B30" s="416" t="s">
        <v>777</v>
      </c>
      <c r="C30" s="417" t="s">
        <v>33</v>
      </c>
      <c r="D30" s="418">
        <f>D24</f>
        <v>40</v>
      </c>
      <c r="E30" s="419"/>
      <c r="F30" s="420">
        <f>D30*E30</f>
        <v>0</v>
      </c>
    </row>
    <row r="31" spans="1:6" s="11" customFormat="1">
      <c r="A31" s="415"/>
      <c r="B31" s="416"/>
      <c r="C31" s="417"/>
      <c r="D31" s="418"/>
      <c r="E31" s="419"/>
      <c r="F31" s="420"/>
    </row>
    <row r="32" spans="1:6" s="11" customFormat="1">
      <c r="A32" s="415"/>
      <c r="B32" s="400" t="s">
        <v>769</v>
      </c>
      <c r="C32" s="417"/>
      <c r="D32" s="418"/>
      <c r="E32" s="419"/>
      <c r="F32" s="420"/>
    </row>
    <row r="33" spans="1:6" s="11" customFormat="1" ht="29">
      <c r="A33" s="415">
        <v>10.8</v>
      </c>
      <c r="B33" s="416" t="s">
        <v>778</v>
      </c>
      <c r="C33" s="417" t="s">
        <v>425</v>
      </c>
      <c r="D33" s="418">
        <f>CEILING(2*7*0.13,1)</f>
        <v>2</v>
      </c>
      <c r="E33" s="419"/>
      <c r="F33" s="420">
        <f>D33*E33</f>
        <v>0</v>
      </c>
    </row>
    <row r="34" spans="1:6" s="11" customFormat="1" ht="29">
      <c r="A34" s="415"/>
      <c r="B34" s="416" t="s">
        <v>779</v>
      </c>
      <c r="C34" s="417"/>
      <c r="D34" s="418"/>
      <c r="E34" s="419"/>
      <c r="F34" s="420"/>
    </row>
    <row r="35" spans="1:6" s="11" customFormat="1">
      <c r="A35" s="415"/>
      <c r="B35" s="416"/>
      <c r="C35" s="417"/>
      <c r="D35" s="418"/>
      <c r="E35" s="419"/>
      <c r="F35" s="420"/>
    </row>
    <row r="36" spans="1:6" s="11" customFormat="1">
      <c r="A36" s="415"/>
      <c r="B36" s="400" t="s">
        <v>771</v>
      </c>
      <c r="C36" s="417"/>
      <c r="D36" s="418"/>
      <c r="E36" s="419"/>
      <c r="F36" s="420"/>
    </row>
    <row r="37" spans="1:6" s="11" customFormat="1">
      <c r="A37" s="415"/>
      <c r="B37" s="400" t="s">
        <v>772</v>
      </c>
      <c r="C37" s="417"/>
      <c r="D37" s="418"/>
      <c r="E37" s="419"/>
      <c r="F37" s="420"/>
    </row>
    <row r="38" spans="1:6" s="11" customFormat="1" ht="29">
      <c r="A38" s="415">
        <v>10.9</v>
      </c>
      <c r="B38" s="416" t="s">
        <v>780</v>
      </c>
      <c r="C38" s="417" t="s">
        <v>675</v>
      </c>
      <c r="D38" s="418">
        <v>65</v>
      </c>
      <c r="E38" s="419"/>
      <c r="F38" s="420">
        <f>D38*E38</f>
        <v>0</v>
      </c>
    </row>
    <row r="39" spans="1:6" s="11" customFormat="1" ht="29">
      <c r="A39" s="415"/>
      <c r="B39" s="416" t="s">
        <v>781</v>
      </c>
      <c r="C39" s="417"/>
      <c r="D39" s="418"/>
      <c r="E39" s="419"/>
      <c r="F39" s="420"/>
    </row>
    <row r="40" spans="1:6" s="11" customFormat="1">
      <c r="A40" s="415"/>
      <c r="B40" s="416" t="s">
        <v>782</v>
      </c>
      <c r="C40" s="417"/>
      <c r="D40" s="418"/>
      <c r="E40" s="419"/>
      <c r="F40" s="420"/>
    </row>
    <row r="41" spans="1:6" s="11" customFormat="1">
      <c r="A41" s="432">
        <v>10.1</v>
      </c>
      <c r="B41" s="416" t="s">
        <v>774</v>
      </c>
      <c r="C41" s="417" t="s">
        <v>50</v>
      </c>
      <c r="D41" s="418">
        <v>14</v>
      </c>
      <c r="E41" s="419"/>
      <c r="F41" s="420">
        <f>D41*E41</f>
        <v>0</v>
      </c>
    </row>
    <row r="42" spans="1:6" s="11" customFormat="1">
      <c r="A42" s="415">
        <v>10.11</v>
      </c>
      <c r="B42" s="416" t="s">
        <v>783</v>
      </c>
      <c r="C42" s="417" t="s">
        <v>33</v>
      </c>
      <c r="D42" s="418">
        <f>D41</f>
        <v>14</v>
      </c>
      <c r="E42" s="419"/>
      <c r="F42" s="420">
        <f>D42*E42</f>
        <v>0</v>
      </c>
    </row>
    <row r="43" spans="1:6" s="11" customFormat="1">
      <c r="A43" s="415"/>
      <c r="B43" s="416"/>
      <c r="C43" s="417"/>
      <c r="D43" s="418"/>
      <c r="E43" s="419"/>
      <c r="F43" s="420"/>
    </row>
    <row r="44" spans="1:6" s="11" customFormat="1">
      <c r="A44" s="415">
        <v>10.119999999999999</v>
      </c>
      <c r="B44" s="416" t="s">
        <v>784</v>
      </c>
      <c r="C44" s="417" t="s">
        <v>785</v>
      </c>
      <c r="D44" s="418">
        <v>2</v>
      </c>
      <c r="E44" s="419"/>
      <c r="F44" s="420">
        <f>D44*E44</f>
        <v>0</v>
      </c>
    </row>
    <row r="45" spans="1:6" s="11" customFormat="1" ht="43.5">
      <c r="A45" s="415">
        <v>10.130000000000001</v>
      </c>
      <c r="B45" s="416" t="s">
        <v>786</v>
      </c>
      <c r="C45" s="417" t="s">
        <v>146</v>
      </c>
      <c r="D45" s="418">
        <v>1</v>
      </c>
      <c r="E45" s="419"/>
      <c r="F45" s="420">
        <f>D45*E45</f>
        <v>0</v>
      </c>
    </row>
    <row r="46" spans="1:6" s="11" customFormat="1" ht="29">
      <c r="A46" s="415">
        <v>10.14</v>
      </c>
      <c r="B46" s="416" t="s">
        <v>787</v>
      </c>
      <c r="C46" s="417" t="s">
        <v>50</v>
      </c>
      <c r="D46" s="418">
        <v>12</v>
      </c>
      <c r="E46" s="419"/>
      <c r="F46" s="420">
        <f>D46*E46</f>
        <v>0</v>
      </c>
    </row>
    <row r="47" spans="1:6" s="433" customFormat="1">
      <c r="A47" s="415"/>
      <c r="B47" s="416"/>
      <c r="C47" s="417"/>
      <c r="D47" s="418"/>
      <c r="E47" s="419"/>
      <c r="F47" s="420"/>
    </row>
    <row r="48" spans="1:6" s="433" customFormat="1">
      <c r="A48" s="415"/>
      <c r="B48" s="400" t="s">
        <v>769</v>
      </c>
      <c r="C48" s="417"/>
      <c r="D48" s="418"/>
      <c r="E48" s="419"/>
      <c r="F48" s="420"/>
    </row>
    <row r="49" spans="1:6" s="433" customFormat="1" ht="29">
      <c r="A49" s="415">
        <v>10.15</v>
      </c>
      <c r="B49" s="416" t="s">
        <v>788</v>
      </c>
      <c r="C49" s="417" t="s">
        <v>425</v>
      </c>
      <c r="D49" s="418">
        <v>0.3</v>
      </c>
      <c r="E49" s="419"/>
      <c r="F49" s="420">
        <f>D49*E49</f>
        <v>0</v>
      </c>
    </row>
    <row r="50" spans="1:6" s="433" customFormat="1" ht="43.5">
      <c r="A50" s="415">
        <v>10.16</v>
      </c>
      <c r="B50" s="416" t="s">
        <v>789</v>
      </c>
      <c r="C50" s="417" t="s">
        <v>675</v>
      </c>
      <c r="D50" s="418">
        <v>22</v>
      </c>
      <c r="E50" s="419"/>
      <c r="F50" s="420">
        <f>D50*E50</f>
        <v>0</v>
      </c>
    </row>
    <row r="51" spans="1:6" s="433" customFormat="1">
      <c r="A51" s="415"/>
      <c r="B51" s="416"/>
      <c r="C51" s="417"/>
      <c r="D51" s="418"/>
      <c r="E51" s="419"/>
      <c r="F51" s="420">
        <f t="shared" ref="F51" si="0">D51*E51</f>
        <v>0</v>
      </c>
    </row>
    <row r="52" spans="1:6" s="433" customFormat="1">
      <c r="A52" s="415"/>
      <c r="B52" s="416"/>
      <c r="C52" s="417"/>
      <c r="D52" s="418"/>
      <c r="E52" s="419"/>
      <c r="F52" s="420"/>
    </row>
    <row r="53" spans="1:6" s="433" customFormat="1">
      <c r="A53" s="434"/>
      <c r="B53" s="405" t="s">
        <v>1928</v>
      </c>
      <c r="C53" s="434"/>
      <c r="D53" s="435"/>
      <c r="E53" s="434"/>
      <c r="F53" s="436">
        <f>SUM(F27:F52)</f>
        <v>0</v>
      </c>
    </row>
    <row r="54" spans="1:6" s="433" customFormat="1">
      <c r="A54" s="388"/>
      <c r="B54" s="388"/>
      <c r="C54" s="388"/>
      <c r="D54" s="389"/>
      <c r="E54" s="388"/>
      <c r="F54" s="390"/>
    </row>
    <row r="55" spans="1:6" s="433" customFormat="1">
      <c r="A55" s="137"/>
      <c r="B55" s="137"/>
      <c r="C55" s="137"/>
      <c r="D55" s="437"/>
      <c r="E55" s="137"/>
      <c r="F55" s="438"/>
    </row>
    <row r="56" spans="1:6" s="433" customFormat="1">
      <c r="A56" s="137"/>
      <c r="B56" s="137"/>
      <c r="C56" s="137"/>
      <c r="D56" s="437"/>
      <c r="E56" s="137"/>
      <c r="F56" s="438"/>
    </row>
    <row r="57" spans="1:6" s="433" customFormat="1">
      <c r="A57" s="137"/>
      <c r="B57" s="137"/>
      <c r="C57" s="137"/>
      <c r="D57" s="437"/>
      <c r="E57" s="137"/>
      <c r="F57" s="438"/>
    </row>
    <row r="58" spans="1:6" s="433" customFormat="1">
      <c r="A58" s="137"/>
      <c r="B58" s="137"/>
      <c r="C58" s="137"/>
      <c r="D58" s="437"/>
      <c r="E58" s="137"/>
      <c r="F58" s="438"/>
    </row>
    <row r="59" spans="1:6" s="433" customFormat="1">
      <c r="A59" s="137"/>
      <c r="B59" s="137"/>
      <c r="C59" s="137"/>
      <c r="D59" s="437"/>
      <c r="E59" s="137"/>
      <c r="F59" s="438"/>
    </row>
    <row r="60" spans="1:6" s="433" customFormat="1">
      <c r="A60" s="137"/>
      <c r="B60" s="137"/>
      <c r="C60" s="137"/>
      <c r="D60" s="437"/>
      <c r="E60" s="137"/>
      <c r="F60" s="438"/>
    </row>
    <row r="61" spans="1:6" s="433" customFormat="1">
      <c r="A61" s="137"/>
      <c r="B61" s="137"/>
      <c r="C61" s="137"/>
      <c r="D61" s="437"/>
      <c r="E61" s="137"/>
      <c r="F61" s="438"/>
    </row>
    <row r="62" spans="1:6" s="433" customFormat="1">
      <c r="A62" s="137"/>
      <c r="B62" s="137"/>
      <c r="C62" s="137"/>
      <c r="D62" s="437"/>
      <c r="E62" s="137"/>
      <c r="F62" s="438"/>
    </row>
    <row r="63" spans="1:6" s="433" customFormat="1">
      <c r="A63" s="137"/>
      <c r="B63" s="137"/>
      <c r="C63" s="137"/>
      <c r="D63" s="437"/>
      <c r="E63" s="137"/>
      <c r="F63" s="438"/>
    </row>
    <row r="64" spans="1:6" s="433" customFormat="1">
      <c r="A64" s="137"/>
      <c r="B64" s="137"/>
      <c r="C64" s="137"/>
      <c r="D64" s="437"/>
      <c r="E64" s="137"/>
      <c r="F64" s="438"/>
    </row>
    <row r="65" spans="1:6" s="433" customFormat="1">
      <c r="A65" s="137"/>
      <c r="B65" s="137"/>
      <c r="C65" s="137"/>
      <c r="D65" s="437"/>
      <c r="E65" s="137"/>
      <c r="F65" s="438"/>
    </row>
    <row r="66" spans="1:6" s="433" customFormat="1">
      <c r="A66" s="137"/>
      <c r="B66" s="137"/>
      <c r="C66" s="137"/>
      <c r="D66" s="437"/>
      <c r="E66" s="137"/>
      <c r="F66" s="438"/>
    </row>
    <row r="67" spans="1:6" s="433" customFormat="1">
      <c r="A67" s="137"/>
      <c r="B67" s="137"/>
      <c r="C67" s="137"/>
      <c r="D67" s="437"/>
      <c r="E67" s="137"/>
      <c r="F67" s="438"/>
    </row>
    <row r="68" spans="1:6" s="433" customFormat="1">
      <c r="A68" s="137"/>
      <c r="B68" s="137"/>
      <c r="C68" s="137"/>
      <c r="D68" s="437"/>
      <c r="E68" s="137"/>
      <c r="F68" s="438"/>
    </row>
    <row r="69" spans="1:6" s="433" customFormat="1">
      <c r="A69" s="137"/>
      <c r="B69" s="137"/>
      <c r="C69" s="137"/>
      <c r="D69" s="437"/>
      <c r="E69" s="137"/>
      <c r="F69" s="438"/>
    </row>
    <row r="70" spans="1:6" s="433" customFormat="1">
      <c r="A70" s="137"/>
      <c r="B70" s="137"/>
      <c r="C70" s="137"/>
      <c r="D70" s="437"/>
      <c r="E70" s="137"/>
      <c r="F70" s="438"/>
    </row>
    <row r="71" spans="1:6" s="433" customFormat="1">
      <c r="A71" s="137"/>
      <c r="B71" s="137"/>
      <c r="C71" s="137"/>
      <c r="D71" s="437"/>
      <c r="E71" s="137"/>
      <c r="F71" s="438"/>
    </row>
    <row r="72" spans="1:6" s="433" customFormat="1">
      <c r="A72" s="137"/>
      <c r="B72" s="137"/>
      <c r="C72" s="137"/>
      <c r="D72" s="437"/>
      <c r="E72" s="137"/>
      <c r="F72" s="438"/>
    </row>
    <row r="73" spans="1:6" s="433" customFormat="1">
      <c r="A73" s="137"/>
      <c r="B73" s="137"/>
      <c r="C73" s="137"/>
      <c r="D73" s="437"/>
      <c r="E73" s="137"/>
      <c r="F73" s="438"/>
    </row>
    <row r="74" spans="1:6" s="433" customFormat="1">
      <c r="A74" s="137"/>
      <c r="B74" s="137"/>
      <c r="C74" s="137"/>
      <c r="D74" s="437"/>
      <c r="E74" s="137"/>
      <c r="F74" s="438"/>
    </row>
    <row r="75" spans="1:6" s="433" customFormat="1">
      <c r="A75" s="137"/>
      <c r="B75" s="137"/>
      <c r="C75" s="137"/>
      <c r="D75" s="437"/>
      <c r="E75" s="137"/>
      <c r="F75" s="438"/>
    </row>
    <row r="76" spans="1:6" s="433" customFormat="1">
      <c r="A76" s="137"/>
      <c r="B76" s="137"/>
      <c r="C76" s="137"/>
      <c r="D76" s="437"/>
      <c r="E76" s="137"/>
      <c r="F76" s="438"/>
    </row>
    <row r="77" spans="1:6" s="433" customFormat="1">
      <c r="A77" s="137"/>
      <c r="B77" s="137"/>
      <c r="C77" s="137"/>
      <c r="D77" s="437"/>
      <c r="E77" s="137"/>
      <c r="F77" s="438"/>
    </row>
    <row r="78" spans="1:6" s="433" customFormat="1">
      <c r="A78" s="137"/>
      <c r="B78" s="137"/>
      <c r="C78" s="137"/>
      <c r="D78" s="437"/>
      <c r="E78" s="137"/>
      <c r="F78" s="438"/>
    </row>
    <row r="79" spans="1:6" s="433" customFormat="1">
      <c r="A79" s="137"/>
      <c r="B79" s="137"/>
      <c r="C79" s="137"/>
      <c r="D79" s="437"/>
      <c r="E79" s="137"/>
      <c r="F79" s="438"/>
    </row>
    <row r="80" spans="1:6" s="439" customFormat="1">
      <c r="A80" s="137"/>
      <c r="B80" s="137"/>
      <c r="C80" s="137"/>
      <c r="D80" s="437"/>
      <c r="E80" s="137"/>
      <c r="F80" s="438"/>
    </row>
    <row r="81" spans="1:6" s="439" customFormat="1">
      <c r="A81" s="137"/>
      <c r="B81" s="137"/>
      <c r="C81" s="137"/>
      <c r="D81" s="437"/>
      <c r="E81" s="137"/>
      <c r="F81" s="438"/>
    </row>
    <row r="82" spans="1:6" s="439" customFormat="1">
      <c r="A82" s="137"/>
      <c r="B82" s="137"/>
      <c r="C82" s="137"/>
      <c r="D82" s="437"/>
      <c r="E82" s="137"/>
      <c r="F82" s="438"/>
    </row>
    <row r="83" spans="1:6" s="11" customFormat="1">
      <c r="A83" s="137"/>
      <c r="B83" s="137"/>
      <c r="C83" s="137"/>
      <c r="D83" s="437"/>
      <c r="E83" s="137"/>
      <c r="F83" s="438"/>
    </row>
    <row r="84" spans="1:6" s="11" customFormat="1">
      <c r="A84" s="137"/>
      <c r="B84" s="137"/>
      <c r="C84" s="137"/>
      <c r="D84" s="437"/>
      <c r="E84" s="137"/>
      <c r="F84" s="438"/>
    </row>
    <row r="85" spans="1:6" s="433" customFormat="1">
      <c r="A85" s="137"/>
      <c r="B85" s="137"/>
      <c r="C85" s="137"/>
      <c r="D85" s="437"/>
      <c r="E85" s="137"/>
      <c r="F85" s="438"/>
    </row>
    <row r="86" spans="1:6" s="433" customFormat="1">
      <c r="A86" s="137"/>
      <c r="B86" s="137"/>
      <c r="C86" s="137"/>
      <c r="D86" s="437"/>
      <c r="E86" s="137"/>
      <c r="F86" s="438"/>
    </row>
    <row r="87" spans="1:6" s="433" customFormat="1">
      <c r="A87" s="137"/>
      <c r="B87" s="137"/>
      <c r="C87" s="137"/>
      <c r="D87" s="437"/>
      <c r="E87" s="137"/>
      <c r="F87" s="438"/>
    </row>
    <row r="88" spans="1:6" s="433" customFormat="1">
      <c r="A88" s="137"/>
      <c r="B88" s="137"/>
      <c r="C88" s="137"/>
      <c r="D88" s="437"/>
      <c r="E88" s="137"/>
      <c r="F88" s="438"/>
    </row>
    <row r="89" spans="1:6" s="433" customFormat="1">
      <c r="A89" s="137"/>
      <c r="B89" s="137"/>
      <c r="C89" s="137"/>
      <c r="D89" s="437"/>
      <c r="E89" s="137"/>
      <c r="F89" s="438"/>
    </row>
    <row r="90" spans="1:6" s="433" customFormat="1">
      <c r="A90" s="137"/>
      <c r="B90" s="137"/>
      <c r="C90" s="137"/>
      <c r="D90" s="437"/>
      <c r="E90" s="137"/>
      <c r="F90" s="438"/>
    </row>
    <row r="91" spans="1:6" s="433" customFormat="1">
      <c r="A91" s="137"/>
      <c r="B91" s="137"/>
      <c r="C91" s="137"/>
      <c r="D91" s="437"/>
      <c r="E91" s="137"/>
      <c r="F91" s="438"/>
    </row>
    <row r="92" spans="1:6" s="433" customFormat="1">
      <c r="A92" s="137"/>
      <c r="B92" s="137"/>
      <c r="C92" s="137"/>
      <c r="D92" s="437"/>
      <c r="E92" s="137"/>
      <c r="F92" s="438"/>
    </row>
    <row r="93" spans="1:6" s="433" customFormat="1">
      <c r="A93" s="137"/>
      <c r="B93" s="137"/>
      <c r="C93" s="137"/>
      <c r="D93" s="437"/>
      <c r="E93" s="137"/>
      <c r="F93" s="438"/>
    </row>
    <row r="94" spans="1:6" s="433" customFormat="1">
      <c r="A94" s="137"/>
      <c r="B94" s="137"/>
      <c r="C94" s="137"/>
      <c r="D94" s="437"/>
      <c r="E94" s="137"/>
      <c r="F94" s="438"/>
    </row>
    <row r="95" spans="1:6" s="433" customFormat="1">
      <c r="A95" s="137"/>
      <c r="B95" s="137"/>
      <c r="C95" s="137"/>
      <c r="D95" s="437"/>
      <c r="E95" s="137"/>
      <c r="F95" s="438"/>
    </row>
    <row r="96" spans="1:6" s="433" customFormat="1">
      <c r="A96" s="137"/>
      <c r="B96" s="137"/>
      <c r="C96" s="137"/>
      <c r="D96" s="437"/>
      <c r="E96" s="137"/>
      <c r="F96" s="438"/>
    </row>
    <row r="97" spans="1:6" s="433" customFormat="1">
      <c r="A97" s="137"/>
      <c r="B97" s="137"/>
      <c r="C97" s="137"/>
      <c r="D97" s="437"/>
      <c r="E97" s="137"/>
      <c r="F97" s="438"/>
    </row>
    <row r="98" spans="1:6" s="433" customFormat="1">
      <c r="A98" s="137"/>
      <c r="B98" s="137"/>
      <c r="C98" s="137"/>
      <c r="D98" s="437"/>
      <c r="E98" s="137"/>
      <c r="F98" s="438"/>
    </row>
    <row r="99" spans="1:6" s="433" customFormat="1">
      <c r="A99" s="137"/>
      <c r="B99" s="137"/>
      <c r="C99" s="137"/>
      <c r="D99" s="437"/>
      <c r="E99" s="137"/>
      <c r="F99" s="438"/>
    </row>
    <row r="100" spans="1:6" s="433" customFormat="1">
      <c r="A100" s="137"/>
      <c r="B100" s="137"/>
      <c r="C100" s="137"/>
      <c r="D100" s="437"/>
      <c r="E100" s="137"/>
      <c r="F100" s="438"/>
    </row>
    <row r="101" spans="1:6" s="433" customFormat="1">
      <c r="A101" s="137"/>
      <c r="B101" s="137"/>
      <c r="C101" s="137"/>
      <c r="D101" s="437"/>
      <c r="E101" s="137"/>
      <c r="F101" s="438"/>
    </row>
    <row r="102" spans="1:6" s="433" customFormat="1">
      <c r="A102" s="137"/>
      <c r="B102" s="137"/>
      <c r="C102" s="137"/>
      <c r="D102" s="437"/>
      <c r="E102" s="137"/>
      <c r="F102" s="438"/>
    </row>
    <row r="103" spans="1:6" s="433" customFormat="1">
      <c r="A103" s="137"/>
      <c r="B103" s="137"/>
      <c r="C103" s="137"/>
      <c r="D103" s="437"/>
      <c r="E103" s="137"/>
      <c r="F103" s="438"/>
    </row>
    <row r="104" spans="1:6" s="433" customFormat="1">
      <c r="A104" s="137"/>
      <c r="B104" s="137"/>
      <c r="C104" s="137"/>
      <c r="D104" s="437"/>
      <c r="E104" s="137"/>
      <c r="F104" s="438"/>
    </row>
    <row r="105" spans="1:6" s="433" customFormat="1">
      <c r="A105" s="137"/>
      <c r="B105" s="137"/>
      <c r="C105" s="137"/>
      <c r="D105" s="437"/>
      <c r="E105" s="137"/>
      <c r="F105" s="438"/>
    </row>
    <row r="106" spans="1:6" s="433" customFormat="1">
      <c r="A106" s="137"/>
      <c r="B106" s="137"/>
      <c r="C106" s="137"/>
      <c r="D106" s="437"/>
      <c r="E106" s="137"/>
      <c r="F106" s="438"/>
    </row>
    <row r="107" spans="1:6" s="433" customFormat="1">
      <c r="A107" s="137"/>
      <c r="B107" s="137"/>
      <c r="C107" s="137"/>
      <c r="D107" s="437"/>
      <c r="E107" s="137"/>
      <c r="F107" s="438"/>
    </row>
  </sheetData>
  <pageMargins left="0.7" right="0.7" top="0.75" bottom="0.75" header="0.3" footer="0.3"/>
  <pageSetup scale="98" orientation="portrait" horizontalDpi="300" verticalDpi="300" r:id="rId1"/>
  <rowBreaks count="1" manualBreakCount="1">
    <brk id="2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5"/>
  <sheetViews>
    <sheetView view="pageBreakPreview" zoomScale="90" zoomScaleNormal="100" zoomScaleSheetLayoutView="90" workbookViewId="0">
      <pane xSplit="1" ySplit="1" topLeftCell="B2" activePane="bottomRight" state="frozen"/>
      <selection pane="topRight" activeCell="B1" sqref="B1"/>
      <selection pane="bottomLeft" activeCell="A2" sqref="A2"/>
      <selection pane="bottomRight" activeCell="G1" sqref="G1:M1048576"/>
    </sheetView>
  </sheetViews>
  <sheetFormatPr defaultColWidth="9.08984375" defaultRowHeight="14.5"/>
  <cols>
    <col min="1" max="1" width="7.6328125" style="258" bestFit="1" customWidth="1"/>
    <col min="2" max="2" width="43.81640625" style="258" customWidth="1"/>
    <col min="3" max="3" width="9.08984375" style="384"/>
    <col min="4" max="4" width="7.6328125" style="384" bestFit="1" customWidth="1"/>
    <col min="5" max="5" width="9.6328125" style="384" bestFit="1" customWidth="1"/>
    <col min="6" max="6" width="11.54296875" style="385" bestFit="1" customWidth="1"/>
    <col min="7" max="16384" width="9.08984375" style="258"/>
  </cols>
  <sheetData>
    <row r="1" spans="1:6">
      <c r="A1" s="202" t="s">
        <v>0</v>
      </c>
      <c r="B1" s="203" t="s">
        <v>1</v>
      </c>
      <c r="C1" s="204" t="s">
        <v>2</v>
      </c>
      <c r="D1" s="305" t="s">
        <v>426</v>
      </c>
      <c r="E1" s="307" t="s">
        <v>368</v>
      </c>
      <c r="F1" s="313" t="s">
        <v>472</v>
      </c>
    </row>
    <row r="2" spans="1:6" ht="29">
      <c r="A2" s="248"/>
      <c r="B2" s="130" t="s">
        <v>859</v>
      </c>
      <c r="C2" s="209"/>
      <c r="D2" s="279"/>
      <c r="E2" s="308"/>
      <c r="F2" s="315"/>
    </row>
    <row r="3" spans="1:6">
      <c r="A3" s="202">
        <v>11</v>
      </c>
      <c r="B3" s="212" t="s">
        <v>1665</v>
      </c>
      <c r="C3" s="209"/>
      <c r="D3" s="279"/>
      <c r="E3" s="308"/>
      <c r="F3" s="315"/>
    </row>
    <row r="4" spans="1:6">
      <c r="A4" s="266">
        <v>11.1</v>
      </c>
      <c r="B4" s="208" t="s">
        <v>596</v>
      </c>
      <c r="C4" s="232"/>
      <c r="D4" s="279"/>
      <c r="E4" s="308"/>
      <c r="F4" s="213"/>
    </row>
    <row r="5" spans="1:6">
      <c r="A5" s="261" t="s">
        <v>805</v>
      </c>
      <c r="B5" s="263" t="s">
        <v>609</v>
      </c>
      <c r="C5" s="279" t="s">
        <v>33</v>
      </c>
      <c r="D5" s="279">
        <f>6.4*3.5</f>
        <v>22.400000000000002</v>
      </c>
      <c r="E5" s="308"/>
      <c r="F5" s="213">
        <f>D5*E5</f>
        <v>0</v>
      </c>
    </row>
    <row r="6" spans="1:6" ht="43.5">
      <c r="A6" s="261" t="s">
        <v>797</v>
      </c>
      <c r="B6" s="263" t="s">
        <v>438</v>
      </c>
      <c r="C6" s="279" t="s">
        <v>33</v>
      </c>
      <c r="D6" s="279">
        <f>D5</f>
        <v>22.400000000000002</v>
      </c>
      <c r="E6" s="308"/>
      <c r="F6" s="213">
        <f>D6*E6</f>
        <v>0</v>
      </c>
    </row>
    <row r="7" spans="1:6" ht="29">
      <c r="A7" s="261" t="s">
        <v>798</v>
      </c>
      <c r="B7" s="263" t="s">
        <v>592</v>
      </c>
      <c r="C7" s="279" t="s">
        <v>425</v>
      </c>
      <c r="D7" s="279">
        <f>CEILING(22*0.5*0.4,1)</f>
        <v>5</v>
      </c>
      <c r="E7" s="308"/>
      <c r="F7" s="213">
        <f t="shared" ref="F7" si="0">D7*E7</f>
        <v>0</v>
      </c>
    </row>
    <row r="8" spans="1:6" ht="29">
      <c r="A8" s="261" t="s">
        <v>799</v>
      </c>
      <c r="B8" s="263" t="s">
        <v>589</v>
      </c>
      <c r="C8" s="279" t="s">
        <v>33</v>
      </c>
      <c r="D8" s="279">
        <f>CEILING(22*0.6,1)</f>
        <v>14</v>
      </c>
      <c r="E8" s="308"/>
      <c r="F8" s="213">
        <f>D8*E8</f>
        <v>0</v>
      </c>
    </row>
    <row r="9" spans="1:6">
      <c r="A9" s="261"/>
      <c r="B9" s="208" t="s">
        <v>610</v>
      </c>
      <c r="C9" s="279"/>
      <c r="D9" s="279"/>
      <c r="E9" s="308"/>
      <c r="F9" s="233"/>
    </row>
    <row r="10" spans="1:6" ht="43.5">
      <c r="A10" s="261" t="s">
        <v>800</v>
      </c>
      <c r="B10" s="263" t="s">
        <v>611</v>
      </c>
      <c r="C10" s="279" t="s">
        <v>33</v>
      </c>
      <c r="D10" s="279">
        <f>D5</f>
        <v>22.400000000000002</v>
      </c>
      <c r="E10" s="308"/>
      <c r="F10" s="213">
        <f>D10*E10</f>
        <v>0</v>
      </c>
    </row>
    <row r="11" spans="1:6" ht="43.5">
      <c r="A11" s="261" t="s">
        <v>801</v>
      </c>
      <c r="B11" s="263" t="s">
        <v>612</v>
      </c>
      <c r="C11" s="279" t="s">
        <v>33</v>
      </c>
      <c r="D11" s="279">
        <f>D10</f>
        <v>22.400000000000002</v>
      </c>
      <c r="E11" s="308"/>
      <c r="F11" s="213">
        <f>D11*E11</f>
        <v>0</v>
      </c>
    </row>
    <row r="12" spans="1:6">
      <c r="A12" s="261"/>
      <c r="B12" s="208" t="s">
        <v>35</v>
      </c>
      <c r="C12" s="232"/>
      <c r="D12" s="279"/>
      <c r="E12" s="308"/>
      <c r="F12" s="213">
        <f t="shared" ref="F12:F15" si="1">D12*E12</f>
        <v>0</v>
      </c>
    </row>
    <row r="13" spans="1:6" ht="58">
      <c r="A13" s="261" t="s">
        <v>802</v>
      </c>
      <c r="B13" s="263" t="s">
        <v>593</v>
      </c>
      <c r="C13" s="279" t="s">
        <v>33</v>
      </c>
      <c r="D13" s="279">
        <f>D11</f>
        <v>22.400000000000002</v>
      </c>
      <c r="E13" s="308"/>
      <c r="F13" s="213">
        <f t="shared" si="1"/>
        <v>0</v>
      </c>
    </row>
    <row r="14" spans="1:6">
      <c r="A14" s="261"/>
      <c r="B14" s="208" t="s">
        <v>38</v>
      </c>
      <c r="C14" s="232"/>
      <c r="D14" s="279"/>
      <c r="E14" s="308"/>
      <c r="F14" s="213">
        <f t="shared" si="1"/>
        <v>0</v>
      </c>
    </row>
    <row r="15" spans="1:6" ht="58">
      <c r="A15" s="261" t="s">
        <v>803</v>
      </c>
      <c r="B15" s="263" t="s">
        <v>613</v>
      </c>
      <c r="C15" s="279" t="s">
        <v>33</v>
      </c>
      <c r="D15" s="279">
        <f>D13</f>
        <v>22.400000000000002</v>
      </c>
      <c r="E15" s="308"/>
      <c r="F15" s="213">
        <f t="shared" si="1"/>
        <v>0</v>
      </c>
    </row>
    <row r="16" spans="1:6">
      <c r="A16" s="261"/>
      <c r="B16" s="208" t="s">
        <v>443</v>
      </c>
      <c r="C16" s="232"/>
      <c r="D16" s="279"/>
      <c r="E16" s="308"/>
      <c r="F16" s="213">
        <f>D16*E16</f>
        <v>0</v>
      </c>
    </row>
    <row r="17" spans="1:6">
      <c r="A17" s="261" t="s">
        <v>804</v>
      </c>
      <c r="B17" s="263" t="s">
        <v>444</v>
      </c>
      <c r="C17" s="279" t="s">
        <v>445</v>
      </c>
      <c r="D17" s="279">
        <f>22*2</f>
        <v>44</v>
      </c>
      <c r="E17" s="308"/>
      <c r="F17" s="213">
        <f>D17*E17</f>
        <v>0</v>
      </c>
    </row>
    <row r="18" spans="1:6">
      <c r="A18" s="261"/>
      <c r="B18" s="208" t="s">
        <v>446</v>
      </c>
      <c r="C18" s="279"/>
      <c r="D18" s="279"/>
      <c r="E18" s="308"/>
      <c r="F18" s="213">
        <f>D18*E18</f>
        <v>0</v>
      </c>
    </row>
    <row r="19" spans="1:6" ht="29">
      <c r="A19" s="265" t="s">
        <v>807</v>
      </c>
      <c r="B19" s="263" t="s">
        <v>447</v>
      </c>
      <c r="C19" s="279" t="s">
        <v>33</v>
      </c>
      <c r="D19" s="279">
        <f>D15</f>
        <v>22.400000000000002</v>
      </c>
      <c r="E19" s="308"/>
      <c r="F19" s="213">
        <f>D19*E19</f>
        <v>0</v>
      </c>
    </row>
    <row r="20" spans="1:6">
      <c r="A20" s="261"/>
      <c r="B20" s="262" t="s">
        <v>440</v>
      </c>
      <c r="C20" s="232"/>
      <c r="D20" s="279"/>
      <c r="E20" s="308"/>
      <c r="F20" s="213"/>
    </row>
    <row r="21" spans="1:6" ht="29">
      <c r="A21" s="261"/>
      <c r="B21" s="264" t="s">
        <v>236</v>
      </c>
      <c r="C21" s="232"/>
      <c r="D21" s="279"/>
      <c r="E21" s="308"/>
      <c r="F21" s="213">
        <f>D21*E21</f>
        <v>0</v>
      </c>
    </row>
    <row r="22" spans="1:6">
      <c r="A22" s="261" t="s">
        <v>808</v>
      </c>
      <c r="B22" s="263" t="s">
        <v>442</v>
      </c>
      <c r="C22" s="279" t="s">
        <v>425</v>
      </c>
      <c r="D22" s="279">
        <f>CEILING(D15*0.15,1)</f>
        <v>4</v>
      </c>
      <c r="E22" s="308"/>
      <c r="F22" s="213">
        <f>D22*E22</f>
        <v>0</v>
      </c>
    </row>
    <row r="23" spans="1:6">
      <c r="A23" s="261"/>
      <c r="B23" s="208" t="s">
        <v>485</v>
      </c>
      <c r="C23" s="204"/>
      <c r="D23" s="305"/>
      <c r="E23" s="307"/>
      <c r="F23" s="313"/>
    </row>
    <row r="24" spans="1:6">
      <c r="A24" s="261"/>
      <c r="B24" s="264" t="s">
        <v>486</v>
      </c>
      <c r="C24" s="232"/>
      <c r="D24" s="316"/>
      <c r="E24" s="308"/>
      <c r="F24" s="317">
        <f>D24*E24</f>
        <v>0</v>
      </c>
    </row>
    <row r="25" spans="1:6" ht="29">
      <c r="A25" s="261" t="s">
        <v>806</v>
      </c>
      <c r="B25" s="263" t="s">
        <v>484</v>
      </c>
      <c r="C25" s="279" t="s">
        <v>33</v>
      </c>
      <c r="D25" s="316">
        <f>D19</f>
        <v>22.400000000000002</v>
      </c>
      <c r="E25" s="308"/>
      <c r="F25" s="317">
        <f>D25*E25</f>
        <v>0</v>
      </c>
    </row>
    <row r="26" spans="1:6">
      <c r="A26" s="265"/>
      <c r="B26" s="263"/>
      <c r="C26" s="279"/>
      <c r="D26" s="316"/>
      <c r="E26" s="308"/>
      <c r="F26" s="317"/>
    </row>
    <row r="27" spans="1:6">
      <c r="A27" s="266"/>
      <c r="B27" s="262" t="s">
        <v>614</v>
      </c>
      <c r="C27" s="280"/>
      <c r="D27" s="280"/>
      <c r="E27" s="309"/>
      <c r="F27" s="267">
        <f>SUM(F4:F26)</f>
        <v>0</v>
      </c>
    </row>
    <row r="28" spans="1:6" s="989" customFormat="1">
      <c r="A28" s="268" t="s">
        <v>0</v>
      </c>
      <c r="B28" s="269" t="s">
        <v>1</v>
      </c>
      <c r="C28" s="281" t="s">
        <v>2</v>
      </c>
      <c r="D28" s="306" t="s">
        <v>426</v>
      </c>
      <c r="E28" s="310" t="s">
        <v>368</v>
      </c>
      <c r="F28" s="314" t="s">
        <v>472</v>
      </c>
    </row>
    <row r="29" spans="1:6" s="989" customFormat="1">
      <c r="A29" s="270"/>
      <c r="B29" s="271"/>
      <c r="C29" s="282"/>
      <c r="D29" s="283"/>
      <c r="E29" s="311"/>
      <c r="F29" s="272"/>
    </row>
    <row r="30" spans="1:6" s="652" customFormat="1">
      <c r="A30" s="634">
        <v>11.2</v>
      </c>
      <c r="B30" s="674" t="s">
        <v>1063</v>
      </c>
      <c r="C30" s="648"/>
      <c r="D30" s="617"/>
      <c r="E30" s="618"/>
      <c r="F30" s="683"/>
    </row>
    <row r="31" spans="1:6" s="652" customFormat="1">
      <c r="A31" s="615"/>
      <c r="B31" s="616"/>
      <c r="C31" s="648"/>
      <c r="D31" s="617"/>
      <c r="E31" s="618"/>
      <c r="F31" s="683"/>
    </row>
    <row r="32" spans="1:6" s="644" customFormat="1">
      <c r="A32" s="681"/>
      <c r="B32" s="649" t="s">
        <v>1064</v>
      </c>
      <c r="C32" s="648"/>
      <c r="D32" s="618"/>
      <c r="E32" s="648"/>
      <c r="F32" s="682"/>
    </row>
    <row r="33" spans="1:7" s="655" customFormat="1">
      <c r="A33" s="684" t="s">
        <v>809</v>
      </c>
      <c r="B33" s="685" t="s">
        <v>1666</v>
      </c>
      <c r="C33" s="686" t="s">
        <v>425</v>
      </c>
      <c r="D33" s="617">
        <v>2</v>
      </c>
      <c r="E33" s="686"/>
      <c r="F33" s="687">
        <f>E33*D33</f>
        <v>0</v>
      </c>
    </row>
    <row r="34" spans="1:7" s="644" customFormat="1">
      <c r="A34" s="681"/>
      <c r="B34" s="649" t="s">
        <v>771</v>
      </c>
      <c r="C34" s="648"/>
      <c r="D34" s="618"/>
      <c r="E34" s="648"/>
      <c r="F34" s="682"/>
    </row>
    <row r="35" spans="1:7" s="644" customFormat="1">
      <c r="A35" s="681"/>
      <c r="B35" s="649" t="s">
        <v>772</v>
      </c>
      <c r="C35" s="648"/>
      <c r="D35" s="618"/>
      <c r="E35" s="648"/>
      <c r="F35" s="682"/>
    </row>
    <row r="36" spans="1:7" s="644" customFormat="1">
      <c r="A36" s="681" t="s">
        <v>810</v>
      </c>
      <c r="B36" s="616" t="s">
        <v>1066</v>
      </c>
      <c r="C36" s="648" t="s">
        <v>19</v>
      </c>
      <c r="D36" s="617">
        <v>45</v>
      </c>
      <c r="E36" s="648"/>
      <c r="F36" s="682">
        <f>E36*D36</f>
        <v>0</v>
      </c>
    </row>
    <row r="37" spans="1:7" s="644" customFormat="1">
      <c r="A37" s="681" t="s">
        <v>811</v>
      </c>
      <c r="B37" s="616" t="s">
        <v>1067</v>
      </c>
      <c r="C37" s="648" t="s">
        <v>19</v>
      </c>
      <c r="D37" s="618">
        <v>100</v>
      </c>
      <c r="E37" s="648"/>
      <c r="F37" s="682">
        <f>E37*D37</f>
        <v>0</v>
      </c>
      <c r="G37" s="661"/>
    </row>
    <row r="38" spans="1:7" s="644" customFormat="1">
      <c r="A38" s="681"/>
      <c r="B38" s="616"/>
      <c r="C38" s="648"/>
      <c r="D38" s="618"/>
      <c r="E38" s="648"/>
      <c r="F38" s="682"/>
      <c r="G38" s="646"/>
    </row>
    <row r="39" spans="1:7" s="644" customFormat="1">
      <c r="A39" s="681"/>
      <c r="B39" s="674" t="s">
        <v>1068</v>
      </c>
      <c r="C39" s="648"/>
      <c r="D39" s="618"/>
      <c r="E39" s="648"/>
      <c r="F39" s="682"/>
    </row>
    <row r="40" spans="1:7" s="644" customFormat="1">
      <c r="A40" s="681" t="s">
        <v>812</v>
      </c>
      <c r="B40" s="616" t="s">
        <v>1667</v>
      </c>
      <c r="C40" s="648" t="s">
        <v>33</v>
      </c>
      <c r="D40" s="617">
        <v>25</v>
      </c>
      <c r="E40" s="648"/>
      <c r="F40" s="682">
        <f>D40*E40</f>
        <v>0</v>
      </c>
    </row>
    <row r="41" spans="1:7" s="658" customFormat="1" ht="29">
      <c r="A41" s="635"/>
      <c r="B41" s="635" t="s">
        <v>1070</v>
      </c>
      <c r="C41" s="639"/>
      <c r="D41" s="688"/>
      <c r="E41" s="639"/>
      <c r="F41" s="689">
        <f>SUM(F33:F40)</f>
        <v>0</v>
      </c>
    </row>
    <row r="42" spans="1:7" s="658" customFormat="1">
      <c r="A42" s="635"/>
      <c r="B42" s="635"/>
      <c r="C42" s="639"/>
      <c r="D42" s="688"/>
      <c r="E42" s="639"/>
      <c r="F42" s="689"/>
    </row>
    <row r="43" spans="1:7" s="644" customFormat="1">
      <c r="A43" s="690">
        <v>11.3</v>
      </c>
      <c r="B43" s="674" t="s">
        <v>1071</v>
      </c>
      <c r="C43" s="648"/>
      <c r="D43" s="618"/>
      <c r="E43" s="648"/>
      <c r="F43" s="682"/>
    </row>
    <row r="44" spans="1:7" s="644" customFormat="1">
      <c r="A44" s="681"/>
      <c r="B44" s="649" t="s">
        <v>1072</v>
      </c>
      <c r="C44" s="648"/>
      <c r="D44" s="618"/>
      <c r="E44" s="648"/>
      <c r="F44" s="682"/>
    </row>
    <row r="45" spans="1:7" s="644" customFormat="1" ht="29">
      <c r="A45" s="681"/>
      <c r="B45" s="691" t="s">
        <v>1673</v>
      </c>
      <c r="C45" s="648"/>
      <c r="D45" s="618"/>
      <c r="E45" s="648"/>
      <c r="F45" s="682"/>
    </row>
    <row r="46" spans="1:7" s="644" customFormat="1" ht="29">
      <c r="A46" s="681"/>
      <c r="B46" s="649" t="s">
        <v>52</v>
      </c>
      <c r="C46" s="648"/>
      <c r="D46" s="618"/>
      <c r="E46" s="648"/>
      <c r="F46" s="682"/>
    </row>
    <row r="47" spans="1:7" s="644" customFormat="1" ht="29">
      <c r="A47" s="681"/>
      <c r="B47" s="649" t="s">
        <v>53</v>
      </c>
      <c r="C47" s="648"/>
      <c r="D47" s="618"/>
      <c r="E47" s="648"/>
      <c r="F47" s="682"/>
    </row>
    <row r="48" spans="1:7" s="644" customFormat="1">
      <c r="A48" s="681"/>
      <c r="B48" s="649" t="s">
        <v>54</v>
      </c>
      <c r="C48" s="648"/>
      <c r="D48" s="618"/>
      <c r="E48" s="648"/>
      <c r="F48" s="682"/>
    </row>
    <row r="49" spans="1:6" s="644" customFormat="1">
      <c r="A49" s="681" t="s">
        <v>813</v>
      </c>
      <c r="B49" s="616" t="s">
        <v>1668</v>
      </c>
      <c r="C49" s="648" t="s">
        <v>33</v>
      </c>
      <c r="D49" s="692">
        <v>70</v>
      </c>
      <c r="E49" s="648"/>
      <c r="F49" s="682">
        <f>E49*D49</f>
        <v>0</v>
      </c>
    </row>
    <row r="50" spans="1:6" s="644" customFormat="1">
      <c r="A50" s="681" t="s">
        <v>814</v>
      </c>
      <c r="B50" s="616" t="s">
        <v>1075</v>
      </c>
      <c r="C50" s="648" t="s">
        <v>33</v>
      </c>
      <c r="D50" s="692">
        <v>30</v>
      </c>
      <c r="E50" s="648"/>
      <c r="F50" s="682">
        <f>E50*D50</f>
        <v>0</v>
      </c>
    </row>
    <row r="51" spans="1:6" s="644" customFormat="1" ht="29">
      <c r="A51" s="681" t="s">
        <v>1669</v>
      </c>
      <c r="B51" s="616" t="s">
        <v>1674</v>
      </c>
      <c r="C51" s="648" t="s">
        <v>33</v>
      </c>
      <c r="D51" s="692">
        <v>15</v>
      </c>
      <c r="E51" s="648"/>
      <c r="F51" s="682">
        <f>E51*D51</f>
        <v>0</v>
      </c>
    </row>
    <row r="52" spans="1:6" s="644" customFormat="1">
      <c r="A52" s="681" t="s">
        <v>1669</v>
      </c>
      <c r="B52" s="649" t="s">
        <v>1039</v>
      </c>
      <c r="C52" s="648"/>
      <c r="D52" s="618"/>
      <c r="E52" s="648"/>
      <c r="F52" s="682"/>
    </row>
    <row r="53" spans="1:6" s="644" customFormat="1">
      <c r="A53" s="681" t="s">
        <v>1670</v>
      </c>
      <c r="B53" s="616" t="s">
        <v>1040</v>
      </c>
      <c r="C53" s="648" t="s">
        <v>50</v>
      </c>
      <c r="D53" s="692">
        <f>22+2.1*4</f>
        <v>30.4</v>
      </c>
      <c r="E53" s="648"/>
      <c r="F53" s="682">
        <f>E53*D53</f>
        <v>0</v>
      </c>
    </row>
    <row r="54" spans="1:6" s="644" customFormat="1" ht="29">
      <c r="A54" s="681"/>
      <c r="B54" s="635" t="s">
        <v>1076</v>
      </c>
      <c r="C54" s="639"/>
      <c r="D54" s="618"/>
      <c r="E54" s="648"/>
      <c r="F54" s="689">
        <f>SUM(F44:F53)</f>
        <v>0</v>
      </c>
    </row>
    <row r="55" spans="1:6" s="644" customFormat="1">
      <c r="A55" s="681"/>
      <c r="B55" s="635"/>
      <c r="C55" s="639"/>
      <c r="D55" s="618"/>
      <c r="E55" s="648"/>
      <c r="F55" s="689"/>
    </row>
    <row r="56" spans="1:6">
      <c r="A56" s="318">
        <v>11.4</v>
      </c>
      <c r="B56" s="674" t="s">
        <v>1671</v>
      </c>
      <c r="C56" s="324"/>
      <c r="D56" s="324"/>
      <c r="E56" s="319"/>
      <c r="F56" s="320"/>
    </row>
    <row r="57" spans="1:6" ht="29">
      <c r="A57" s="322"/>
      <c r="B57" s="321" t="s">
        <v>496</v>
      </c>
      <c r="C57" s="328" t="s">
        <v>34</v>
      </c>
      <c r="D57" s="328"/>
      <c r="E57" s="328"/>
      <c r="F57" s="320"/>
    </row>
    <row r="58" spans="1:6" ht="29">
      <c r="A58" s="322" t="s">
        <v>815</v>
      </c>
      <c r="B58" s="323" t="s">
        <v>497</v>
      </c>
      <c r="C58" s="324" t="s">
        <v>33</v>
      </c>
      <c r="D58" s="319">
        <v>32</v>
      </c>
      <c r="E58" s="319"/>
      <c r="F58" s="320">
        <f>D58*E58</f>
        <v>0</v>
      </c>
    </row>
    <row r="59" spans="1:6">
      <c r="A59" s="322" t="s">
        <v>816</v>
      </c>
      <c r="B59" s="329" t="s">
        <v>707</v>
      </c>
      <c r="C59" s="328" t="s">
        <v>50</v>
      </c>
      <c r="D59" s="328">
        <f>25*4</f>
        <v>100</v>
      </c>
      <c r="E59" s="328"/>
      <c r="F59" s="320">
        <f t="shared" ref="F59:F63" si="2">D59*E59</f>
        <v>0</v>
      </c>
    </row>
    <row r="60" spans="1:6">
      <c r="A60" s="322" t="s">
        <v>817</v>
      </c>
      <c r="B60" s="329" t="s">
        <v>708</v>
      </c>
      <c r="C60" s="328" t="s">
        <v>50</v>
      </c>
      <c r="D60" s="328">
        <v>68</v>
      </c>
      <c r="E60" s="328"/>
      <c r="F60" s="320">
        <f t="shared" si="2"/>
        <v>0</v>
      </c>
    </row>
    <row r="61" spans="1:6">
      <c r="A61" s="322" t="s">
        <v>818</v>
      </c>
      <c r="B61" s="329" t="s">
        <v>382</v>
      </c>
      <c r="C61" s="328" t="s">
        <v>50</v>
      </c>
      <c r="D61" s="328">
        <v>34</v>
      </c>
      <c r="E61" s="328"/>
      <c r="F61" s="320">
        <f t="shared" si="2"/>
        <v>0</v>
      </c>
    </row>
    <row r="62" spans="1:6">
      <c r="A62" s="322" t="s">
        <v>819</v>
      </c>
      <c r="B62" s="329" t="s">
        <v>383</v>
      </c>
      <c r="C62" s="328" t="s">
        <v>50</v>
      </c>
      <c r="D62" s="328">
        <v>14</v>
      </c>
      <c r="E62" s="328"/>
      <c r="F62" s="320">
        <f t="shared" si="2"/>
        <v>0</v>
      </c>
    </row>
    <row r="63" spans="1:6">
      <c r="A63" s="322" t="s">
        <v>820</v>
      </c>
      <c r="B63" s="329" t="s">
        <v>1735</v>
      </c>
      <c r="C63" s="328" t="s">
        <v>50</v>
      </c>
      <c r="D63" s="328">
        <v>17</v>
      </c>
      <c r="E63" s="328"/>
      <c r="F63" s="320">
        <f t="shared" si="2"/>
        <v>0</v>
      </c>
    </row>
    <row r="64" spans="1:6">
      <c r="A64" s="322"/>
      <c r="B64" s="330" t="s">
        <v>388</v>
      </c>
      <c r="C64" s="328" t="s">
        <v>34</v>
      </c>
      <c r="D64" s="328" t="s">
        <v>34</v>
      </c>
      <c r="E64" s="328"/>
      <c r="F64" s="332"/>
    </row>
    <row r="65" spans="1:6">
      <c r="A65" s="322" t="s">
        <v>821</v>
      </c>
      <c r="B65" s="329" t="s">
        <v>389</v>
      </c>
      <c r="C65" s="328" t="s">
        <v>34</v>
      </c>
      <c r="D65" s="328" t="s">
        <v>34</v>
      </c>
      <c r="E65" s="328"/>
      <c r="F65" s="332"/>
    </row>
    <row r="66" spans="1:6">
      <c r="A66" s="322" t="s">
        <v>822</v>
      </c>
      <c r="B66" s="329" t="s">
        <v>390</v>
      </c>
      <c r="C66" s="328" t="s">
        <v>33</v>
      </c>
      <c r="D66" s="328">
        <f>CEILING(77.3-58,1)</f>
        <v>20</v>
      </c>
      <c r="E66" s="328"/>
      <c r="F66" s="332">
        <f t="shared" ref="F66:F88" si="3">E66*D66</f>
        <v>0</v>
      </c>
    </row>
    <row r="67" spans="1:6">
      <c r="A67" s="322" t="s">
        <v>823</v>
      </c>
      <c r="B67" s="329" t="s">
        <v>391</v>
      </c>
      <c r="C67" s="328" t="s">
        <v>50</v>
      </c>
      <c r="D67" s="328">
        <v>42</v>
      </c>
      <c r="E67" s="328"/>
      <c r="F67" s="332">
        <f t="shared" si="3"/>
        <v>0</v>
      </c>
    </row>
    <row r="68" spans="1:6">
      <c r="A68" s="202" t="s">
        <v>0</v>
      </c>
      <c r="B68" s="203" t="s">
        <v>1</v>
      </c>
      <c r="C68" s="204" t="s">
        <v>2</v>
      </c>
      <c r="D68" s="305" t="s">
        <v>426</v>
      </c>
      <c r="E68" s="307" t="s">
        <v>368</v>
      </c>
      <c r="F68" s="313" t="s">
        <v>472</v>
      </c>
    </row>
    <row r="69" spans="1:6">
      <c r="A69" s="322"/>
      <c r="B69" s="321" t="s">
        <v>392</v>
      </c>
      <c r="C69" s="328" t="s">
        <v>34</v>
      </c>
      <c r="D69" s="328" t="s">
        <v>34</v>
      </c>
      <c r="E69" s="328"/>
      <c r="F69" s="332"/>
    </row>
    <row r="70" spans="1:6" ht="29">
      <c r="A70" s="322" t="s">
        <v>824</v>
      </c>
      <c r="B70" s="329" t="s">
        <v>393</v>
      </c>
      <c r="C70" s="328" t="s">
        <v>33</v>
      </c>
      <c r="D70" s="328">
        <f>D66</f>
        <v>20</v>
      </c>
      <c r="E70" s="328"/>
      <c r="F70" s="332">
        <f t="shared" si="3"/>
        <v>0</v>
      </c>
    </row>
    <row r="71" spans="1:6" ht="29">
      <c r="A71" s="322" t="s">
        <v>825</v>
      </c>
      <c r="B71" s="329" t="s">
        <v>394</v>
      </c>
      <c r="C71" s="328" t="s">
        <v>50</v>
      </c>
      <c r="D71" s="328">
        <f>D67</f>
        <v>42</v>
      </c>
      <c r="E71" s="328"/>
      <c r="F71" s="332">
        <f t="shared" si="3"/>
        <v>0</v>
      </c>
    </row>
    <row r="72" spans="1:6">
      <c r="A72" s="322"/>
      <c r="B72" s="330" t="s">
        <v>498</v>
      </c>
      <c r="C72" s="328" t="s">
        <v>34</v>
      </c>
      <c r="D72" s="328" t="s">
        <v>34</v>
      </c>
      <c r="E72" s="328"/>
      <c r="F72" s="332"/>
    </row>
    <row r="73" spans="1:6" ht="29">
      <c r="A73" s="322" t="s">
        <v>826</v>
      </c>
      <c r="B73" s="329" t="s">
        <v>398</v>
      </c>
      <c r="C73" s="328" t="s">
        <v>50</v>
      </c>
      <c r="D73" s="328">
        <f>2*3</f>
        <v>6</v>
      </c>
      <c r="E73" s="328"/>
      <c r="F73" s="332">
        <f t="shared" si="3"/>
        <v>0</v>
      </c>
    </row>
    <row r="74" spans="1:6" s="1010" customFormat="1">
      <c r="A74" s="318"/>
      <c r="B74" s="330" t="s">
        <v>1734</v>
      </c>
      <c r="C74" s="333"/>
      <c r="D74" s="333"/>
      <c r="E74" s="333"/>
      <c r="F74" s="331">
        <f>SUM(F57:F73)</f>
        <v>0</v>
      </c>
    </row>
    <row r="75" spans="1:6">
      <c r="A75" s="1015"/>
      <c r="B75" s="589"/>
      <c r="C75" s="1016"/>
      <c r="D75" s="1016"/>
      <c r="E75" s="1016"/>
      <c r="F75" s="998"/>
    </row>
    <row r="76" spans="1:6">
      <c r="A76" s="993">
        <v>11.5</v>
      </c>
      <c r="B76" s="674" t="s">
        <v>1677</v>
      </c>
      <c r="C76" s="334"/>
      <c r="D76" s="327"/>
      <c r="E76" s="327"/>
      <c r="F76" s="332">
        <f t="shared" si="3"/>
        <v>0</v>
      </c>
    </row>
    <row r="77" spans="1:6" ht="29">
      <c r="A77" s="322" t="s">
        <v>1678</v>
      </c>
      <c r="B77" s="329" t="s">
        <v>1672</v>
      </c>
      <c r="C77" s="335" t="s">
        <v>387</v>
      </c>
      <c r="D77" s="335">
        <v>8</v>
      </c>
      <c r="E77" s="335"/>
      <c r="F77" s="332">
        <f t="shared" si="3"/>
        <v>0</v>
      </c>
    </row>
    <row r="78" spans="1:6">
      <c r="A78" s="322"/>
      <c r="B78" s="330" t="s">
        <v>509</v>
      </c>
      <c r="C78" s="335" t="s">
        <v>34</v>
      </c>
      <c r="D78" s="335" t="s">
        <v>34</v>
      </c>
      <c r="E78" s="335"/>
      <c r="F78" s="332"/>
    </row>
    <row r="79" spans="1:6" ht="29">
      <c r="A79" s="322" t="s">
        <v>1679</v>
      </c>
      <c r="B79" s="329" t="s">
        <v>510</v>
      </c>
      <c r="C79" s="335" t="s">
        <v>146</v>
      </c>
      <c r="D79" s="335" t="s">
        <v>439</v>
      </c>
      <c r="E79" s="335"/>
      <c r="F79" s="332">
        <f>E79</f>
        <v>0</v>
      </c>
    </row>
    <row r="80" spans="1:6">
      <c r="A80" s="338"/>
      <c r="B80" s="325" t="s">
        <v>520</v>
      </c>
      <c r="C80" s="339"/>
      <c r="D80" s="327"/>
      <c r="E80" s="327"/>
      <c r="F80" s="332"/>
    </row>
    <row r="81" spans="1:6" ht="29">
      <c r="A81" s="338" t="s">
        <v>1680</v>
      </c>
      <c r="B81" s="323" t="s">
        <v>1675</v>
      </c>
      <c r="C81" s="326" t="s">
        <v>12</v>
      </c>
      <c r="D81" s="319">
        <v>6</v>
      </c>
      <c r="E81" s="319"/>
      <c r="F81" s="332">
        <f t="shared" si="3"/>
        <v>0</v>
      </c>
    </row>
    <row r="82" spans="1:6" s="1010" customFormat="1">
      <c r="A82" s="1003"/>
      <c r="B82" s="970" t="s">
        <v>1733</v>
      </c>
      <c r="C82" s="971"/>
      <c r="D82" s="1004"/>
      <c r="E82" s="1004"/>
      <c r="F82" s="1014">
        <f>SUM(F77:F81)</f>
        <v>0</v>
      </c>
    </row>
    <row r="83" spans="1:6">
      <c r="A83" s="994"/>
      <c r="B83" s="995"/>
      <c r="C83" s="996"/>
      <c r="D83" s="997"/>
      <c r="E83" s="997"/>
      <c r="F83" s="998"/>
    </row>
    <row r="84" spans="1:6">
      <c r="A84" s="1002">
        <v>11.6</v>
      </c>
      <c r="B84" s="674" t="s">
        <v>1681</v>
      </c>
      <c r="C84" s="339"/>
      <c r="D84" s="327"/>
      <c r="E84" s="327"/>
      <c r="F84" s="332">
        <f t="shared" si="3"/>
        <v>0</v>
      </c>
    </row>
    <row r="85" spans="1:6">
      <c r="A85" s="1003"/>
      <c r="B85" s="674" t="s">
        <v>18</v>
      </c>
      <c r="C85" s="971"/>
      <c r="D85" s="1004"/>
      <c r="E85" s="1004"/>
      <c r="F85" s="998"/>
    </row>
    <row r="86" spans="1:6">
      <c r="A86" s="340"/>
      <c r="B86" s="341" t="s">
        <v>512</v>
      </c>
      <c r="C86" s="342"/>
      <c r="D86" s="343"/>
      <c r="E86" s="343"/>
      <c r="F86" s="332">
        <f t="shared" si="3"/>
        <v>0</v>
      </c>
    </row>
    <row r="87" spans="1:6" ht="29">
      <c r="A87" s="338" t="s">
        <v>1682</v>
      </c>
      <c r="B87" s="344" t="s">
        <v>615</v>
      </c>
      <c r="C87" s="342" t="s">
        <v>33</v>
      </c>
      <c r="D87" s="345">
        <f>D25</f>
        <v>22.400000000000002</v>
      </c>
      <c r="E87" s="343"/>
      <c r="F87" s="332">
        <f t="shared" si="3"/>
        <v>0</v>
      </c>
    </row>
    <row r="88" spans="1:6">
      <c r="A88" s="338"/>
      <c r="B88" s="341" t="s">
        <v>616</v>
      </c>
      <c r="C88" s="342"/>
      <c r="D88" s="343"/>
      <c r="E88" s="343"/>
      <c r="F88" s="332">
        <f t="shared" si="3"/>
        <v>0</v>
      </c>
    </row>
    <row r="89" spans="1:6" ht="29">
      <c r="A89" s="338" t="s">
        <v>1683</v>
      </c>
      <c r="B89" s="344" t="s">
        <v>617</v>
      </c>
      <c r="C89" s="342" t="s">
        <v>33</v>
      </c>
      <c r="D89" s="345">
        <f>D87</f>
        <v>22.400000000000002</v>
      </c>
      <c r="E89" s="343"/>
      <c r="F89" s="332">
        <f>E89*D89</f>
        <v>0</v>
      </c>
    </row>
    <row r="90" spans="1:6">
      <c r="A90" s="994"/>
      <c r="B90" s="999"/>
      <c r="C90" s="598"/>
      <c r="D90" s="1000"/>
      <c r="E90" s="1001"/>
      <c r="F90" s="998"/>
    </row>
    <row r="91" spans="1:6">
      <c r="A91" s="994"/>
      <c r="B91" s="1005" t="s">
        <v>1684</v>
      </c>
      <c r="C91" s="598"/>
      <c r="D91" s="1000"/>
      <c r="E91" s="1001"/>
      <c r="F91" s="998"/>
    </row>
    <row r="92" spans="1:6" s="644" customFormat="1" ht="29">
      <c r="A92" s="681"/>
      <c r="B92" s="649" t="s">
        <v>55</v>
      </c>
      <c r="C92" s="648"/>
      <c r="D92" s="617"/>
      <c r="E92" s="648"/>
      <c r="F92" s="682"/>
    </row>
    <row r="93" spans="1:6" s="644" customFormat="1">
      <c r="A93" s="681"/>
      <c r="B93" s="649" t="s">
        <v>56</v>
      </c>
      <c r="C93" s="648"/>
      <c r="D93" s="617"/>
      <c r="E93" s="648"/>
      <c r="F93" s="682"/>
    </row>
    <row r="94" spans="1:6" s="644" customFormat="1">
      <c r="A94" s="678" t="s">
        <v>1685</v>
      </c>
      <c r="B94" s="616" t="s">
        <v>949</v>
      </c>
      <c r="C94" s="648" t="s">
        <v>33</v>
      </c>
      <c r="D94" s="617">
        <f>D49</f>
        <v>70</v>
      </c>
      <c r="E94" s="648"/>
      <c r="F94" s="682">
        <f>E94*D94</f>
        <v>0</v>
      </c>
    </row>
    <row r="95" spans="1:6" s="644" customFormat="1" ht="29">
      <c r="A95" s="678"/>
      <c r="B95" s="649" t="s">
        <v>1041</v>
      </c>
      <c r="C95" s="648"/>
      <c r="D95" s="617"/>
      <c r="E95" s="648"/>
      <c r="F95" s="682"/>
    </row>
    <row r="96" spans="1:6" s="644" customFormat="1">
      <c r="A96" s="678" t="s">
        <v>1686</v>
      </c>
      <c r="B96" s="616" t="s">
        <v>1687</v>
      </c>
      <c r="C96" s="648" t="s">
        <v>33</v>
      </c>
      <c r="D96" s="617">
        <v>150</v>
      </c>
      <c r="E96" s="648"/>
      <c r="F96" s="682">
        <f>E96*D96</f>
        <v>0</v>
      </c>
    </row>
    <row r="97" spans="1:6">
      <c r="A97" s="994"/>
      <c r="B97" s="999"/>
      <c r="C97" s="598"/>
      <c r="D97" s="1000"/>
      <c r="E97" s="1001"/>
      <c r="F97" s="998"/>
    </row>
    <row r="98" spans="1:6">
      <c r="A98" s="994"/>
      <c r="B98" s="999"/>
      <c r="C98" s="598"/>
      <c r="D98" s="1000"/>
      <c r="E98" s="1001"/>
      <c r="F98" s="998"/>
    </row>
    <row r="99" spans="1:6">
      <c r="A99" s="994"/>
      <c r="B99" s="999"/>
      <c r="C99" s="598"/>
      <c r="D99" s="1000"/>
      <c r="E99" s="1001"/>
      <c r="F99" s="998"/>
    </row>
    <row r="100" spans="1:6">
      <c r="A100" s="268"/>
      <c r="B100" s="346" t="s">
        <v>618</v>
      </c>
      <c r="C100" s="281"/>
      <c r="D100" s="347"/>
      <c r="E100" s="347"/>
      <c r="F100" s="331">
        <f>SUM(F86:F96)</f>
        <v>0</v>
      </c>
    </row>
    <row r="101" spans="1:6">
      <c r="A101" s="268" t="s">
        <v>0</v>
      </c>
      <c r="B101" s="269" t="s">
        <v>1</v>
      </c>
      <c r="C101" s="281" t="s">
        <v>2</v>
      </c>
      <c r="D101" s="306" t="s">
        <v>426</v>
      </c>
      <c r="E101" s="310" t="s">
        <v>368</v>
      </c>
      <c r="F101" s="314" t="s">
        <v>472</v>
      </c>
    </row>
    <row r="102" spans="1:6" ht="29">
      <c r="A102" s="268">
        <v>11.7</v>
      </c>
      <c r="B102" s="201" t="s">
        <v>1688</v>
      </c>
      <c r="C102" s="284"/>
      <c r="D102" s="312"/>
      <c r="E102" s="284"/>
      <c r="F102" s="272"/>
    </row>
    <row r="103" spans="1:6">
      <c r="A103" s="270"/>
      <c r="B103" s="348"/>
      <c r="C103" s="349"/>
      <c r="D103" s="350"/>
      <c r="E103" s="351"/>
      <c r="F103" s="337">
        <f t="shared" ref="F103:F113" si="4">E103*D103</f>
        <v>0</v>
      </c>
    </row>
    <row r="104" spans="1:6">
      <c r="A104" s="352"/>
      <c r="B104" s="348" t="s">
        <v>193</v>
      </c>
      <c r="C104" s="284"/>
      <c r="D104" s="312"/>
      <c r="E104" s="284"/>
      <c r="F104" s="337">
        <f t="shared" si="4"/>
        <v>0</v>
      </c>
    </row>
    <row r="105" spans="1:6" ht="58">
      <c r="A105" s="352"/>
      <c r="B105" s="353" t="s">
        <v>479</v>
      </c>
      <c r="C105" s="285"/>
      <c r="D105" s="312"/>
      <c r="E105" s="284"/>
      <c r="F105" s="337">
        <f t="shared" si="4"/>
        <v>0</v>
      </c>
    </row>
    <row r="106" spans="1:6">
      <c r="A106" s="352" t="s">
        <v>1689</v>
      </c>
      <c r="B106" s="354" t="s">
        <v>1676</v>
      </c>
      <c r="C106" s="285" t="s">
        <v>5</v>
      </c>
      <c r="D106" s="285">
        <v>6</v>
      </c>
      <c r="E106" s="284"/>
      <c r="F106" s="337">
        <f t="shared" si="4"/>
        <v>0</v>
      </c>
    </row>
    <row r="107" spans="1:6">
      <c r="A107" s="352"/>
      <c r="B107" s="355" t="s">
        <v>198</v>
      </c>
      <c r="C107" s="285"/>
      <c r="D107" s="285"/>
      <c r="E107" s="284"/>
      <c r="F107" s="337">
        <f t="shared" si="4"/>
        <v>0</v>
      </c>
    </row>
    <row r="108" spans="1:6">
      <c r="A108" s="352" t="s">
        <v>1690</v>
      </c>
      <c r="B108" s="354" t="s">
        <v>269</v>
      </c>
      <c r="C108" s="285" t="s">
        <v>12</v>
      </c>
      <c r="D108" s="285">
        <f>D106</f>
        <v>6</v>
      </c>
      <c r="E108" s="284"/>
      <c r="F108" s="337">
        <f t="shared" si="4"/>
        <v>0</v>
      </c>
    </row>
    <row r="109" spans="1:6">
      <c r="A109" s="352"/>
      <c r="B109" s="201" t="s">
        <v>199</v>
      </c>
      <c r="C109" s="284"/>
      <c r="D109" s="312"/>
      <c r="E109" s="284"/>
      <c r="F109" s="337">
        <f t="shared" si="4"/>
        <v>0</v>
      </c>
    </row>
    <row r="110" spans="1:6">
      <c r="A110" s="352"/>
      <c r="B110" s="355" t="s">
        <v>514</v>
      </c>
      <c r="C110" s="284"/>
      <c r="D110" s="312"/>
      <c r="E110" s="284"/>
      <c r="F110" s="337">
        <f t="shared" si="4"/>
        <v>0</v>
      </c>
    </row>
    <row r="111" spans="1:6" ht="87">
      <c r="A111" s="352"/>
      <c r="B111" s="354" t="s">
        <v>620</v>
      </c>
      <c r="C111" s="285"/>
      <c r="D111" s="312"/>
      <c r="E111" s="284"/>
      <c r="F111" s="337">
        <f t="shared" si="4"/>
        <v>0</v>
      </c>
    </row>
    <row r="112" spans="1:6">
      <c r="A112" s="352" t="s">
        <v>1691</v>
      </c>
      <c r="B112" s="356" t="s">
        <v>516</v>
      </c>
      <c r="C112" s="285" t="s">
        <v>4</v>
      </c>
      <c r="D112" s="285">
        <v>80</v>
      </c>
      <c r="E112" s="284"/>
      <c r="F112" s="337">
        <f t="shared" si="4"/>
        <v>0</v>
      </c>
    </row>
    <row r="113" spans="1:6" ht="43.5">
      <c r="A113" s="273"/>
      <c r="B113" s="274" t="s">
        <v>621</v>
      </c>
      <c r="C113" s="336"/>
      <c r="D113" s="312"/>
      <c r="E113" s="284"/>
      <c r="F113" s="337">
        <f t="shared" si="4"/>
        <v>0</v>
      </c>
    </row>
    <row r="114" spans="1:6">
      <c r="A114" s="270"/>
      <c r="B114" s="271" t="s">
        <v>622</v>
      </c>
      <c r="C114" s="357"/>
      <c r="D114" s="311"/>
      <c r="E114" s="282"/>
      <c r="F114" s="358">
        <f>SUM(F105:F113)</f>
        <v>0</v>
      </c>
    </row>
    <row r="115" spans="1:6">
      <c r="A115" s="270"/>
      <c r="B115" s="271"/>
      <c r="C115" s="357"/>
      <c r="D115" s="311"/>
      <c r="E115" s="282"/>
      <c r="F115" s="358"/>
    </row>
    <row r="116" spans="1:6">
      <c r="A116" s="268" t="s">
        <v>0</v>
      </c>
      <c r="B116" s="269" t="s">
        <v>1</v>
      </c>
      <c r="C116" s="281" t="s">
        <v>2</v>
      </c>
      <c r="D116" s="306" t="s">
        <v>426</v>
      </c>
      <c r="E116" s="310" t="s">
        <v>368</v>
      </c>
      <c r="F116" s="314" t="s">
        <v>472</v>
      </c>
    </row>
    <row r="117" spans="1:6" ht="29">
      <c r="A117" s="277">
        <v>11.8</v>
      </c>
      <c r="B117" s="201" t="s">
        <v>1692</v>
      </c>
      <c r="C117" s="359"/>
      <c r="D117" s="360"/>
      <c r="E117" s="359"/>
      <c r="F117" s="314"/>
    </row>
    <row r="118" spans="1:6">
      <c r="A118" s="278" t="s">
        <v>34</v>
      </c>
      <c r="B118" s="356" t="s">
        <v>709</v>
      </c>
      <c r="C118" s="359" t="s">
        <v>34</v>
      </c>
      <c r="D118" s="360" t="s">
        <v>34</v>
      </c>
      <c r="E118" s="359"/>
      <c r="F118" s="361" t="s">
        <v>34</v>
      </c>
    </row>
    <row r="119" spans="1:6">
      <c r="A119" s="278" t="s">
        <v>34</v>
      </c>
      <c r="B119" s="356" t="s">
        <v>710</v>
      </c>
      <c r="C119" s="359"/>
      <c r="D119" s="360"/>
      <c r="E119" s="359"/>
      <c r="F119" s="361"/>
    </row>
    <row r="120" spans="1:6" ht="58">
      <c r="A120" s="278"/>
      <c r="B120" s="356" t="s">
        <v>711</v>
      </c>
      <c r="C120" s="359"/>
      <c r="D120" s="360"/>
      <c r="E120" s="359"/>
      <c r="F120" s="361"/>
    </row>
    <row r="121" spans="1:6">
      <c r="A121" s="278" t="s">
        <v>1693</v>
      </c>
      <c r="B121" s="356" t="s">
        <v>712</v>
      </c>
      <c r="C121" s="359" t="s">
        <v>449</v>
      </c>
      <c r="D121" s="360">
        <f>CEILING(58.2+12*2,1)</f>
        <v>83</v>
      </c>
      <c r="E121" s="359"/>
      <c r="F121" s="361">
        <f t="shared" ref="F121:F130" si="5">E121*D121</f>
        <v>0</v>
      </c>
    </row>
    <row r="122" spans="1:6">
      <c r="A122" s="278" t="s">
        <v>34</v>
      </c>
      <c r="B122" s="356" t="s">
        <v>713</v>
      </c>
      <c r="C122" s="359" t="s">
        <v>34</v>
      </c>
      <c r="D122" s="360" t="s">
        <v>34</v>
      </c>
      <c r="E122" s="359"/>
      <c r="F122" s="361"/>
    </row>
    <row r="123" spans="1:6">
      <c r="A123" s="278" t="s">
        <v>34</v>
      </c>
      <c r="B123" s="1011" t="s">
        <v>714</v>
      </c>
      <c r="C123" s="359" t="s">
        <v>34</v>
      </c>
      <c r="D123" s="360" t="s">
        <v>34</v>
      </c>
      <c r="E123" s="359"/>
      <c r="F123" s="361"/>
    </row>
    <row r="124" spans="1:6">
      <c r="A124" s="278" t="s">
        <v>1694</v>
      </c>
      <c r="B124" s="356" t="s">
        <v>715</v>
      </c>
      <c r="C124" s="359" t="s">
        <v>387</v>
      </c>
      <c r="D124" s="360">
        <v>8</v>
      </c>
      <c r="E124" s="359"/>
      <c r="F124" s="361">
        <f t="shared" si="5"/>
        <v>0</v>
      </c>
    </row>
    <row r="125" spans="1:6">
      <c r="A125" s="278" t="s">
        <v>34</v>
      </c>
      <c r="B125" s="1011" t="s">
        <v>716</v>
      </c>
      <c r="C125" s="359" t="s">
        <v>34</v>
      </c>
      <c r="D125" s="360" t="s">
        <v>34</v>
      </c>
      <c r="E125" s="359"/>
      <c r="F125" s="361"/>
    </row>
    <row r="126" spans="1:6">
      <c r="A126" s="278" t="s">
        <v>1695</v>
      </c>
      <c r="B126" s="356" t="s">
        <v>715</v>
      </c>
      <c r="C126" s="359" t="s">
        <v>387</v>
      </c>
      <c r="D126" s="360">
        <v>8</v>
      </c>
      <c r="E126" s="359"/>
      <c r="F126" s="361">
        <f t="shared" si="5"/>
        <v>0</v>
      </c>
    </row>
    <row r="127" spans="1:6">
      <c r="A127" s="278" t="s">
        <v>34</v>
      </c>
      <c r="B127" s="1011" t="s">
        <v>717</v>
      </c>
      <c r="C127" s="359" t="s">
        <v>34</v>
      </c>
      <c r="D127" s="360" t="s">
        <v>34</v>
      </c>
      <c r="E127" s="359"/>
      <c r="F127" s="361"/>
    </row>
    <row r="128" spans="1:6">
      <c r="A128" s="278" t="s">
        <v>1696</v>
      </c>
      <c r="B128" s="356" t="s">
        <v>718</v>
      </c>
      <c r="C128" s="359" t="s">
        <v>387</v>
      </c>
      <c r="D128" s="360">
        <v>1</v>
      </c>
      <c r="E128" s="359"/>
      <c r="F128" s="361">
        <f t="shared" si="5"/>
        <v>0</v>
      </c>
    </row>
    <row r="129" spans="1:6" ht="43.5">
      <c r="A129" s="278" t="s">
        <v>1697</v>
      </c>
      <c r="B129" s="356" t="s">
        <v>719</v>
      </c>
      <c r="C129" s="359" t="s">
        <v>720</v>
      </c>
      <c r="D129" s="360">
        <v>1</v>
      </c>
      <c r="E129" s="359"/>
      <c r="F129" s="361">
        <f t="shared" si="5"/>
        <v>0</v>
      </c>
    </row>
    <row r="130" spans="1:6" ht="43.5">
      <c r="A130" s="278" t="s">
        <v>1698</v>
      </c>
      <c r="B130" s="356" t="s">
        <v>1720</v>
      </c>
      <c r="C130" s="359" t="s">
        <v>5</v>
      </c>
      <c r="D130" s="360">
        <v>1</v>
      </c>
      <c r="E130" s="359"/>
      <c r="F130" s="361">
        <f t="shared" si="5"/>
        <v>0</v>
      </c>
    </row>
    <row r="131" spans="1:6">
      <c r="A131" s="278"/>
      <c r="B131" s="356"/>
      <c r="C131" s="359"/>
      <c r="D131" s="360"/>
      <c r="E131" s="359"/>
      <c r="F131" s="361"/>
    </row>
    <row r="132" spans="1:6">
      <c r="A132" s="278" t="s">
        <v>34</v>
      </c>
      <c r="B132" s="386" t="s">
        <v>721</v>
      </c>
      <c r="C132" s="363" t="s">
        <v>34</v>
      </c>
      <c r="D132" s="364" t="s">
        <v>34</v>
      </c>
      <c r="E132" s="363"/>
      <c r="F132" s="365" t="s">
        <v>722</v>
      </c>
    </row>
    <row r="133" spans="1:6" ht="159.5">
      <c r="A133" s="278" t="s">
        <v>34</v>
      </c>
      <c r="B133" s="362" t="s">
        <v>723</v>
      </c>
      <c r="C133" s="363"/>
      <c r="D133" s="364"/>
      <c r="E133" s="363"/>
      <c r="F133" s="365"/>
    </row>
    <row r="134" spans="1:6">
      <c r="A134" s="278" t="s">
        <v>1699</v>
      </c>
      <c r="B134" s="362" t="s">
        <v>724</v>
      </c>
      <c r="C134" s="363" t="s">
        <v>725</v>
      </c>
      <c r="D134" s="532">
        <v>97</v>
      </c>
      <c r="E134" s="363"/>
      <c r="F134" s="365">
        <f t="shared" ref="F134:F137" si="6">E134*D134</f>
        <v>0</v>
      </c>
    </row>
    <row r="135" spans="1:6">
      <c r="A135" s="278" t="s">
        <v>1696</v>
      </c>
      <c r="B135" s="362" t="s">
        <v>726</v>
      </c>
      <c r="C135" s="363" t="s">
        <v>725</v>
      </c>
      <c r="D135" s="532">
        <v>9</v>
      </c>
      <c r="E135" s="363"/>
      <c r="F135" s="365">
        <f t="shared" si="6"/>
        <v>0</v>
      </c>
    </row>
    <row r="136" spans="1:6">
      <c r="A136" s="278" t="s">
        <v>1700</v>
      </c>
      <c r="B136" s="362" t="s">
        <v>727</v>
      </c>
      <c r="C136" s="363" t="s">
        <v>725</v>
      </c>
      <c r="D136" s="532">
        <v>5</v>
      </c>
      <c r="E136" s="363"/>
      <c r="F136" s="365">
        <f t="shared" si="6"/>
        <v>0</v>
      </c>
    </row>
    <row r="137" spans="1:6">
      <c r="A137" s="278" t="s">
        <v>1701</v>
      </c>
      <c r="B137" s="366" t="s">
        <v>728</v>
      </c>
      <c r="C137" s="367" t="s">
        <v>725</v>
      </c>
      <c r="D137" s="532">
        <v>5</v>
      </c>
      <c r="E137" s="363"/>
      <c r="F137" s="365">
        <f t="shared" si="6"/>
        <v>0</v>
      </c>
    </row>
    <row r="138" spans="1:6">
      <c r="A138" s="278" t="s">
        <v>1702</v>
      </c>
      <c r="B138" s="366" t="s">
        <v>729</v>
      </c>
      <c r="C138" s="367" t="s">
        <v>34</v>
      </c>
      <c r="D138" s="532" t="s">
        <v>34</v>
      </c>
      <c r="E138" s="363"/>
      <c r="F138" s="365"/>
    </row>
    <row r="139" spans="1:6">
      <c r="A139" s="278" t="s">
        <v>1703</v>
      </c>
      <c r="B139" s="366" t="s">
        <v>730</v>
      </c>
      <c r="C139" s="367" t="s">
        <v>387</v>
      </c>
      <c r="D139" s="532">
        <v>3</v>
      </c>
      <c r="E139" s="363"/>
      <c r="F139" s="365">
        <f t="shared" ref="F139:F156" si="7">E139*D139</f>
        <v>0</v>
      </c>
    </row>
    <row r="140" spans="1:6">
      <c r="A140" s="278" t="s">
        <v>1704</v>
      </c>
      <c r="B140" s="366" t="s">
        <v>731</v>
      </c>
      <c r="C140" s="367" t="s">
        <v>387</v>
      </c>
      <c r="D140" s="532">
        <v>5</v>
      </c>
      <c r="E140" s="363"/>
      <c r="F140" s="365">
        <f t="shared" si="7"/>
        <v>0</v>
      </c>
    </row>
    <row r="141" spans="1:6">
      <c r="A141" s="278" t="s">
        <v>1705</v>
      </c>
      <c r="B141" s="369" t="s">
        <v>732</v>
      </c>
      <c r="C141" s="370" t="s">
        <v>387</v>
      </c>
      <c r="D141" s="371">
        <v>6</v>
      </c>
      <c r="E141" s="372"/>
      <c r="F141" s="365">
        <f t="shared" si="7"/>
        <v>0</v>
      </c>
    </row>
    <row r="142" spans="1:6">
      <c r="A142" s="278" t="s">
        <v>1706</v>
      </c>
      <c r="B142" s="373" t="s">
        <v>733</v>
      </c>
      <c r="C142" s="374" t="s">
        <v>387</v>
      </c>
      <c r="D142" s="374">
        <v>5</v>
      </c>
      <c r="E142" s="374"/>
      <c r="F142" s="365">
        <f t="shared" si="7"/>
        <v>0</v>
      </c>
    </row>
    <row r="143" spans="1:6">
      <c r="A143" s="278" t="s">
        <v>1707</v>
      </c>
      <c r="B143" s="373" t="s">
        <v>734</v>
      </c>
      <c r="C143" s="374" t="s">
        <v>387</v>
      </c>
      <c r="D143" s="374">
        <v>5</v>
      </c>
      <c r="E143" s="374"/>
      <c r="F143" s="365">
        <f t="shared" si="7"/>
        <v>0</v>
      </c>
    </row>
    <row r="144" spans="1:6">
      <c r="A144" s="278" t="s">
        <v>1708</v>
      </c>
      <c r="B144" s="373" t="s">
        <v>735</v>
      </c>
      <c r="C144" s="374" t="s">
        <v>387</v>
      </c>
      <c r="D144" s="374">
        <v>5</v>
      </c>
      <c r="E144" s="374"/>
      <c r="F144" s="365">
        <f t="shared" si="7"/>
        <v>0</v>
      </c>
    </row>
    <row r="145" spans="1:6">
      <c r="A145" s="202" t="s">
        <v>0</v>
      </c>
      <c r="B145" s="203" t="s">
        <v>1</v>
      </c>
      <c r="C145" s="204" t="s">
        <v>2</v>
      </c>
      <c r="D145" s="305" t="s">
        <v>426</v>
      </c>
      <c r="E145" s="307" t="s">
        <v>368</v>
      </c>
      <c r="F145" s="313" t="s">
        <v>472</v>
      </c>
    </row>
    <row r="146" spans="1:6">
      <c r="A146" s="278" t="s">
        <v>1709</v>
      </c>
      <c r="B146" s="373" t="s">
        <v>736</v>
      </c>
      <c r="C146" s="374" t="s">
        <v>387</v>
      </c>
      <c r="D146" s="374">
        <v>2</v>
      </c>
      <c r="E146" s="374"/>
      <c r="F146" s="365">
        <f t="shared" si="7"/>
        <v>0</v>
      </c>
    </row>
    <row r="147" spans="1:6">
      <c r="A147" s="278" t="s">
        <v>1710</v>
      </c>
      <c r="B147" s="373" t="s">
        <v>737</v>
      </c>
      <c r="C147" s="374" t="s">
        <v>387</v>
      </c>
      <c r="D147" s="374">
        <v>2</v>
      </c>
      <c r="E147" s="374"/>
      <c r="F147" s="365">
        <f t="shared" si="7"/>
        <v>0</v>
      </c>
    </row>
    <row r="148" spans="1:6">
      <c r="A148" s="278" t="s">
        <v>1711</v>
      </c>
      <c r="B148" s="373" t="s">
        <v>738</v>
      </c>
      <c r="C148" s="374" t="s">
        <v>387</v>
      </c>
      <c r="D148" s="374">
        <v>2</v>
      </c>
      <c r="E148" s="374"/>
      <c r="F148" s="365">
        <f t="shared" si="7"/>
        <v>0</v>
      </c>
    </row>
    <row r="149" spans="1:6">
      <c r="A149" s="278" t="s">
        <v>1712</v>
      </c>
      <c r="B149" s="373" t="s">
        <v>739</v>
      </c>
      <c r="C149" s="374" t="s">
        <v>387</v>
      </c>
      <c r="D149" s="374">
        <v>2</v>
      </c>
      <c r="E149" s="374"/>
      <c r="F149" s="365">
        <f t="shared" si="7"/>
        <v>0</v>
      </c>
    </row>
    <row r="150" spans="1:6">
      <c r="A150" s="278" t="s">
        <v>1713</v>
      </c>
      <c r="B150" s="375" t="s">
        <v>740</v>
      </c>
      <c r="C150" s="374" t="s">
        <v>387</v>
      </c>
      <c r="D150" s="374">
        <v>8</v>
      </c>
      <c r="E150" s="374"/>
      <c r="F150" s="365">
        <f t="shared" si="7"/>
        <v>0</v>
      </c>
    </row>
    <row r="151" spans="1:6">
      <c r="A151" s="278" t="s">
        <v>1714</v>
      </c>
      <c r="B151" s="373" t="s">
        <v>741</v>
      </c>
      <c r="C151" s="374" t="s">
        <v>387</v>
      </c>
      <c r="D151" s="374">
        <v>8</v>
      </c>
      <c r="E151" s="374"/>
      <c r="F151" s="365">
        <f t="shared" si="7"/>
        <v>0</v>
      </c>
    </row>
    <row r="152" spans="1:6">
      <c r="A152" s="278" t="s">
        <v>1715</v>
      </c>
      <c r="B152" s="373" t="s">
        <v>742</v>
      </c>
      <c r="C152" s="374" t="s">
        <v>387</v>
      </c>
      <c r="D152" s="374">
        <v>1</v>
      </c>
      <c r="E152" s="374"/>
      <c r="F152" s="365">
        <f t="shared" si="7"/>
        <v>0</v>
      </c>
    </row>
    <row r="153" spans="1:6">
      <c r="A153" s="278" t="s">
        <v>1716</v>
      </c>
      <c r="B153" s="373" t="s">
        <v>743</v>
      </c>
      <c r="C153" s="374" t="s">
        <v>387</v>
      </c>
      <c r="D153" s="374">
        <v>1</v>
      </c>
      <c r="E153" s="374"/>
      <c r="F153" s="365">
        <f t="shared" si="7"/>
        <v>0</v>
      </c>
    </row>
    <row r="154" spans="1:6" ht="29">
      <c r="A154" s="368" t="s">
        <v>1717</v>
      </c>
      <c r="B154" s="373" t="s">
        <v>744</v>
      </c>
      <c r="C154" s="374" t="s">
        <v>387</v>
      </c>
      <c r="D154" s="374">
        <v>4</v>
      </c>
      <c r="E154" s="374"/>
      <c r="F154" s="365">
        <f t="shared" si="7"/>
        <v>0</v>
      </c>
    </row>
    <row r="155" spans="1:6">
      <c r="A155" s="368" t="s">
        <v>1718</v>
      </c>
      <c r="B155" s="373" t="s">
        <v>745</v>
      </c>
      <c r="C155" s="374" t="s">
        <v>387</v>
      </c>
      <c r="D155" s="374">
        <v>5</v>
      </c>
      <c r="E155" s="374"/>
      <c r="F155" s="365">
        <f t="shared" si="7"/>
        <v>0</v>
      </c>
    </row>
    <row r="156" spans="1:6" ht="43.5">
      <c r="A156" s="368" t="s">
        <v>1719</v>
      </c>
      <c r="B156" s="373" t="s">
        <v>746</v>
      </c>
      <c r="C156" s="374" t="s">
        <v>439</v>
      </c>
      <c r="D156" s="374">
        <v>1</v>
      </c>
      <c r="E156" s="374"/>
      <c r="F156" s="365">
        <f t="shared" si="7"/>
        <v>0</v>
      </c>
    </row>
    <row r="157" spans="1:6" s="1010" customFormat="1">
      <c r="A157" s="1007"/>
      <c r="B157" s="770" t="s">
        <v>1721</v>
      </c>
      <c r="C157" s="1008"/>
      <c r="D157" s="1008"/>
      <c r="E157" s="1008"/>
      <c r="F157" s="1009">
        <f>SUM(F120:F156)</f>
        <v>0</v>
      </c>
    </row>
    <row r="158" spans="1:6" s="1010" customFormat="1">
      <c r="A158" s="1007"/>
      <c r="B158" s="770"/>
      <c r="C158" s="1008"/>
      <c r="D158" s="1008"/>
      <c r="E158" s="1008"/>
      <c r="F158" s="1009"/>
    </row>
    <row r="159" spans="1:6">
      <c r="A159" s="1013">
        <v>11.9</v>
      </c>
      <c r="B159" s="387" t="s">
        <v>1722</v>
      </c>
      <c r="C159" s="380" t="s">
        <v>34</v>
      </c>
      <c r="D159" s="380" t="s">
        <v>34</v>
      </c>
      <c r="E159" s="380"/>
      <c r="F159" s="379" t="s">
        <v>722</v>
      </c>
    </row>
    <row r="160" spans="1:6" ht="29">
      <c r="A160" s="378" t="s">
        <v>34</v>
      </c>
      <c r="B160" s="379" t="s">
        <v>747</v>
      </c>
      <c r="C160" s="380" t="s">
        <v>34</v>
      </c>
      <c r="D160" s="380" t="s">
        <v>34</v>
      </c>
      <c r="E160" s="380"/>
      <c r="F160" s="379" t="s">
        <v>722</v>
      </c>
    </row>
    <row r="161" spans="1:6" ht="72.5">
      <c r="A161" s="368" t="s">
        <v>1723</v>
      </c>
      <c r="B161" s="379" t="s">
        <v>748</v>
      </c>
      <c r="C161" s="380" t="s">
        <v>12</v>
      </c>
      <c r="D161" s="380">
        <v>6</v>
      </c>
      <c r="E161" s="380"/>
      <c r="F161" s="365">
        <f t="shared" ref="F161:F169" si="8">E161*D161</f>
        <v>0</v>
      </c>
    </row>
    <row r="162" spans="1:6" ht="43.5">
      <c r="A162" s="368" t="s">
        <v>1724</v>
      </c>
      <c r="B162" s="379" t="s">
        <v>749</v>
      </c>
      <c r="C162" s="380" t="s">
        <v>387</v>
      </c>
      <c r="D162" s="380">
        <f>D161</f>
        <v>6</v>
      </c>
      <c r="E162" s="380"/>
      <c r="F162" s="365">
        <f t="shared" si="8"/>
        <v>0</v>
      </c>
    </row>
    <row r="163" spans="1:6">
      <c r="A163" s="368" t="s">
        <v>1725</v>
      </c>
      <c r="B163" s="379" t="s">
        <v>750</v>
      </c>
      <c r="C163" s="380" t="s">
        <v>387</v>
      </c>
      <c r="D163" s="380">
        <f>D161</f>
        <v>6</v>
      </c>
      <c r="E163" s="380"/>
      <c r="F163" s="365">
        <f t="shared" si="8"/>
        <v>0</v>
      </c>
    </row>
    <row r="164" spans="1:6">
      <c r="A164" s="368" t="s">
        <v>1726</v>
      </c>
      <c r="B164" s="379" t="s">
        <v>751</v>
      </c>
      <c r="C164" s="380" t="s">
        <v>387</v>
      </c>
      <c r="D164" s="380">
        <f>D161</f>
        <v>6</v>
      </c>
      <c r="E164" s="380"/>
      <c r="F164" s="365">
        <f t="shared" si="8"/>
        <v>0</v>
      </c>
    </row>
    <row r="165" spans="1:6" ht="43.5">
      <c r="A165" s="368" t="s">
        <v>1727</v>
      </c>
      <c r="B165" s="379" t="s">
        <v>752</v>
      </c>
      <c r="C165" s="380" t="s">
        <v>387</v>
      </c>
      <c r="D165" s="380">
        <f>D161</f>
        <v>6</v>
      </c>
      <c r="E165" s="380"/>
      <c r="F165" s="365">
        <f t="shared" si="8"/>
        <v>0</v>
      </c>
    </row>
    <row r="166" spans="1:6" ht="101.5">
      <c r="A166" s="368" t="s">
        <v>1728</v>
      </c>
      <c r="B166" s="379" t="s">
        <v>753</v>
      </c>
      <c r="C166" s="380" t="s">
        <v>387</v>
      </c>
      <c r="D166" s="380">
        <f>D161</f>
        <v>6</v>
      </c>
      <c r="E166" s="380"/>
      <c r="F166" s="365">
        <f t="shared" si="8"/>
        <v>0</v>
      </c>
    </row>
    <row r="167" spans="1:6">
      <c r="A167" s="368" t="s">
        <v>1729</v>
      </c>
      <c r="B167" s="379" t="s">
        <v>754</v>
      </c>
      <c r="C167" s="380" t="s">
        <v>387</v>
      </c>
      <c r="D167" s="380">
        <f>D161</f>
        <v>6</v>
      </c>
      <c r="E167" s="380"/>
      <c r="F167" s="365">
        <f t="shared" si="8"/>
        <v>0</v>
      </c>
    </row>
    <row r="168" spans="1:6" ht="87">
      <c r="A168" s="368" t="s">
        <v>1730</v>
      </c>
      <c r="B168" s="379" t="s">
        <v>755</v>
      </c>
      <c r="C168" s="380" t="s">
        <v>387</v>
      </c>
      <c r="D168" s="380">
        <v>2</v>
      </c>
      <c r="E168" s="380"/>
      <c r="F168" s="365">
        <f t="shared" si="8"/>
        <v>0</v>
      </c>
    </row>
    <row r="169" spans="1:6" ht="58">
      <c r="A169" s="368" t="s">
        <v>1731</v>
      </c>
      <c r="B169" s="379" t="s">
        <v>756</v>
      </c>
      <c r="C169" s="380" t="s">
        <v>12</v>
      </c>
      <c r="D169" s="380">
        <v>2</v>
      </c>
      <c r="E169" s="380"/>
      <c r="F169" s="365">
        <f t="shared" si="8"/>
        <v>0</v>
      </c>
    </row>
    <row r="170" spans="1:6">
      <c r="A170" s="378"/>
      <c r="B170" s="376" t="s">
        <v>1732</v>
      </c>
      <c r="C170" s="380"/>
      <c r="D170" s="380"/>
      <c r="E170" s="380"/>
      <c r="F170" s="377">
        <f>SUM(F160:F169)</f>
        <v>0</v>
      </c>
    </row>
    <row r="171" spans="1:6">
      <c r="A171" s="381"/>
      <c r="B171" s="373"/>
      <c r="C171" s="382"/>
      <c r="D171" s="382"/>
      <c r="E171" s="382"/>
      <c r="F171" s="383"/>
    </row>
    <row r="172" spans="1:6">
      <c r="A172" s="990"/>
      <c r="B172" s="769"/>
      <c r="C172" s="758"/>
      <c r="D172" s="758"/>
      <c r="E172" s="758"/>
      <c r="F172" s="991"/>
    </row>
    <row r="173" spans="1:6">
      <c r="A173" s="990"/>
      <c r="B173" s="769"/>
      <c r="C173" s="758"/>
      <c r="D173" s="758"/>
      <c r="E173" s="758"/>
      <c r="F173" s="991"/>
    </row>
    <row r="174" spans="1:6">
      <c r="A174" s="990"/>
      <c r="B174" s="769"/>
      <c r="C174" s="758"/>
      <c r="D174" s="758"/>
      <c r="E174" s="758"/>
      <c r="F174" s="991"/>
    </row>
    <row r="175" spans="1:6">
      <c r="A175" s="381"/>
      <c r="B175" s="197" t="s">
        <v>1927</v>
      </c>
      <c r="C175" s="382"/>
      <c r="D175" s="382"/>
      <c r="E175" s="382"/>
      <c r="F175" s="383"/>
    </row>
    <row r="176" spans="1:6">
      <c r="A176" s="381"/>
      <c r="B176" s="373"/>
      <c r="C176" s="382"/>
      <c r="D176" s="382"/>
      <c r="E176" s="382"/>
      <c r="F176" s="383"/>
    </row>
    <row r="177" spans="1:6">
      <c r="A177" s="381">
        <v>1</v>
      </c>
      <c r="B177" s="373" t="str">
        <f>B4</f>
        <v>BILL NO. 1 : SUB-STRUCTURES (all provisional)</v>
      </c>
      <c r="C177" s="382"/>
      <c r="D177" s="382"/>
      <c r="E177" s="382"/>
      <c r="F177" s="383">
        <f>F27</f>
        <v>0</v>
      </c>
    </row>
    <row r="178" spans="1:6">
      <c r="A178" s="381"/>
      <c r="B178" s="373"/>
      <c r="C178" s="382"/>
      <c r="D178" s="382"/>
      <c r="E178" s="382"/>
      <c r="F178" s="383"/>
    </row>
    <row r="179" spans="1:6">
      <c r="A179" s="381">
        <v>2</v>
      </c>
      <c r="B179" s="373" t="str">
        <f>B30</f>
        <v>ELEMENT NO. 2: SUPER STRUCTURE CONCRETE</v>
      </c>
      <c r="C179" s="382"/>
      <c r="D179" s="382"/>
      <c r="E179" s="382"/>
      <c r="F179" s="383">
        <f>F41</f>
        <v>0</v>
      </c>
    </row>
    <row r="180" spans="1:6">
      <c r="A180" s="381"/>
      <c r="B180" s="373"/>
      <c r="C180" s="382"/>
      <c r="D180" s="382"/>
      <c r="E180" s="382"/>
      <c r="F180" s="383"/>
    </row>
    <row r="181" spans="1:6">
      <c r="A181" s="381">
        <v>3</v>
      </c>
      <c r="B181" s="375" t="str">
        <f>B43</f>
        <v>ELEMENT NO. 3 SUPERSTRUCTURE WALLING</v>
      </c>
      <c r="C181" s="382"/>
      <c r="D181" s="382"/>
      <c r="E181" s="382"/>
      <c r="F181" s="383">
        <f>F54</f>
        <v>0</v>
      </c>
    </row>
    <row r="182" spans="1:6">
      <c r="A182" s="381"/>
      <c r="B182" s="373"/>
      <c r="C182" s="382"/>
      <c r="D182" s="382"/>
      <c r="E182" s="382"/>
      <c r="F182" s="383"/>
    </row>
    <row r="183" spans="1:6">
      <c r="A183" s="381">
        <v>4</v>
      </c>
      <c r="B183" s="375" t="str">
        <f>B56</f>
        <v>ELEMENT NO. 4:  ROOF</v>
      </c>
      <c r="C183" s="382"/>
      <c r="D183" s="382"/>
      <c r="E183" s="382"/>
      <c r="F183" s="383">
        <f>F74</f>
        <v>0</v>
      </c>
    </row>
    <row r="184" spans="1:6">
      <c r="A184" s="990"/>
      <c r="B184" s="992"/>
      <c r="C184" s="758"/>
      <c r="D184" s="758"/>
      <c r="E184" s="758"/>
      <c r="F184" s="991"/>
    </row>
    <row r="185" spans="1:6">
      <c r="A185" s="990">
        <v>5</v>
      </c>
      <c r="B185" s="992" t="str">
        <f>B76</f>
        <v>ELEMENT NO. 5: DOORS AND WINDOWS</v>
      </c>
      <c r="C185" s="758"/>
      <c r="D185" s="758"/>
      <c r="E185" s="758"/>
      <c r="F185" s="991">
        <f>F82</f>
        <v>0</v>
      </c>
    </row>
    <row r="186" spans="1:6">
      <c r="A186" s="990"/>
      <c r="B186" s="992"/>
      <c r="C186" s="758"/>
      <c r="D186" s="758"/>
      <c r="E186" s="758"/>
      <c r="F186" s="991"/>
    </row>
    <row r="187" spans="1:6">
      <c r="A187" s="990">
        <v>6</v>
      </c>
      <c r="B187" s="992" t="str">
        <f>B84</f>
        <v>ELEMENT NO. 6: FINISHES</v>
      </c>
      <c r="C187" s="758"/>
      <c r="D187" s="758"/>
      <c r="E187" s="758"/>
      <c r="F187" s="991">
        <f>F100</f>
        <v>0</v>
      </c>
    </row>
    <row r="188" spans="1:6">
      <c r="A188" s="990"/>
      <c r="B188" s="992"/>
      <c r="C188" s="758"/>
      <c r="D188" s="758"/>
      <c r="E188" s="758"/>
      <c r="F188" s="991"/>
    </row>
    <row r="189" spans="1:6" ht="29">
      <c r="A189" s="990">
        <v>7</v>
      </c>
      <c r="B189" s="992" t="str">
        <f>B102</f>
        <v>BILL NO. 7: ELECTRICAL INSTALLATIONS AND SERVICES</v>
      </c>
      <c r="C189" s="758"/>
      <c r="D189" s="758"/>
      <c r="E189" s="758"/>
      <c r="F189" s="991">
        <f>F114</f>
        <v>0</v>
      </c>
    </row>
    <row r="190" spans="1:6">
      <c r="A190" s="990"/>
      <c r="B190" s="992"/>
      <c r="C190" s="758"/>
      <c r="D190" s="758"/>
      <c r="E190" s="758"/>
      <c r="F190" s="991"/>
    </row>
    <row r="191" spans="1:6" ht="29">
      <c r="A191" s="990">
        <v>8</v>
      </c>
      <c r="B191" s="992" t="str">
        <f>B117</f>
        <v>BILL NO. 8: MECHANICAL INSTALLATIONS AND SERVICES</v>
      </c>
      <c r="C191" s="758"/>
      <c r="D191" s="758"/>
      <c r="E191" s="758"/>
      <c r="F191" s="991">
        <f>F157</f>
        <v>0</v>
      </c>
    </row>
    <row r="192" spans="1:6">
      <c r="A192" s="381"/>
      <c r="B192" s="373"/>
      <c r="C192" s="382"/>
      <c r="D192" s="382"/>
      <c r="E192" s="382"/>
      <c r="F192" s="383"/>
    </row>
    <row r="193" spans="1:6">
      <c r="A193" s="381">
        <v>9</v>
      </c>
      <c r="B193" s="373" t="str">
        <f>B159</f>
        <v>BILL NO. 9: SANITARY FITTINGS</v>
      </c>
      <c r="C193" s="382"/>
      <c r="D193" s="382"/>
      <c r="E193" s="382"/>
      <c r="F193" s="383">
        <f>F170</f>
        <v>0</v>
      </c>
    </row>
    <row r="194" spans="1:6">
      <c r="A194" s="990"/>
      <c r="B194" s="769"/>
      <c r="C194" s="758"/>
      <c r="D194" s="758"/>
      <c r="E194" s="758"/>
      <c r="F194" s="991"/>
    </row>
    <row r="195" spans="1:6" ht="29">
      <c r="A195" s="276"/>
      <c r="B195" s="197" t="s">
        <v>757</v>
      </c>
      <c r="C195" s="200"/>
      <c r="D195" s="200"/>
      <c r="E195" s="200"/>
      <c r="F195" s="199">
        <f>SUM(F177:F193)</f>
        <v>0</v>
      </c>
    </row>
  </sheetData>
  <pageMargins left="0.7" right="0.7" top="0.75" bottom="0.75" header="0.3" footer="0.3"/>
  <pageSetup orientation="portrait" horizontalDpi="300" verticalDpi="300" r:id="rId1"/>
  <rowBreaks count="3" manualBreakCount="3">
    <brk id="27" max="16383" man="1"/>
    <brk id="100" max="16383" man="1"/>
    <brk id="11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0"/>
  <sheetViews>
    <sheetView view="pageBreakPreview" zoomScale="115" zoomScaleNormal="130" zoomScaleSheetLayoutView="115" workbookViewId="0">
      <pane xSplit="1" ySplit="1" topLeftCell="B2" activePane="bottomRight" state="frozen"/>
      <selection pane="topRight" activeCell="B1" sqref="B1"/>
      <selection pane="bottomLeft" activeCell="A2" sqref="A2"/>
      <selection pane="bottomRight" activeCell="G1" sqref="G1:L1048576"/>
    </sheetView>
  </sheetViews>
  <sheetFormatPr defaultColWidth="9.08984375" defaultRowHeight="14.5"/>
  <cols>
    <col min="1" max="1" width="6.54296875" style="110" bestFit="1" customWidth="1"/>
    <col min="2" max="2" width="52.54296875" style="111" customWidth="1"/>
    <col min="3" max="3" width="5.36328125" style="182" bestFit="1" customWidth="1"/>
    <col min="4" max="4" width="6.54296875" style="183" bestFit="1" customWidth="1"/>
    <col min="5" max="5" width="7.36328125" style="184" customWidth="1"/>
    <col min="6" max="6" width="11.54296875" style="115" customWidth="1"/>
    <col min="7" max="16384" width="9.08984375" style="107"/>
  </cols>
  <sheetData>
    <row r="1" spans="1:7" s="105" customFormat="1" ht="29">
      <c r="A1" s="112" t="s">
        <v>423</v>
      </c>
      <c r="B1" s="112" t="s">
        <v>1</v>
      </c>
      <c r="C1" s="112" t="s">
        <v>424</v>
      </c>
      <c r="D1" s="113" t="s">
        <v>426</v>
      </c>
      <c r="E1" s="116" t="s">
        <v>368</v>
      </c>
      <c r="F1" s="114" t="s">
        <v>21</v>
      </c>
    </row>
    <row r="2" spans="1:7" s="177" customFormat="1" ht="16.25" customHeight="1">
      <c r="A2" s="175">
        <v>13</v>
      </c>
      <c r="B2" s="176" t="s">
        <v>859</v>
      </c>
      <c r="C2" s="178"/>
      <c r="D2" s="179"/>
      <c r="E2" s="181"/>
      <c r="F2" s="180"/>
    </row>
    <row r="3" spans="1:7" s="231" customFormat="1">
      <c r="A3" s="533"/>
      <c r="B3" s="208" t="s">
        <v>1020</v>
      </c>
      <c r="C3" s="232"/>
      <c r="D3" s="232"/>
      <c r="E3" s="534"/>
      <c r="F3" s="535"/>
    </row>
    <row r="4" spans="1:7">
      <c r="A4" s="533"/>
      <c r="B4" s="263"/>
      <c r="C4" s="232"/>
      <c r="D4" s="279"/>
      <c r="E4" s="534"/>
      <c r="F4" s="301"/>
      <c r="G4" s="106"/>
    </row>
    <row r="5" spans="1:7">
      <c r="A5" s="533">
        <v>13.1</v>
      </c>
      <c r="B5" s="263" t="s">
        <v>1021</v>
      </c>
      <c r="C5" s="232" t="s">
        <v>33</v>
      </c>
      <c r="D5" s="279">
        <f>320*0.2</f>
        <v>64</v>
      </c>
      <c r="E5" s="534"/>
      <c r="F5" s="301">
        <f>E5*D5</f>
        <v>0</v>
      </c>
      <c r="G5" s="106"/>
    </row>
    <row r="6" spans="1:7" s="538" customFormat="1" ht="17.25" customHeight="1">
      <c r="A6" s="463">
        <v>13.2</v>
      </c>
      <c r="B6" s="536" t="s">
        <v>1022</v>
      </c>
      <c r="C6" s="294"/>
      <c r="D6" s="294"/>
      <c r="E6" s="537"/>
      <c r="F6" s="301">
        <f t="shared" ref="F6:F13" si="0">E6*D6</f>
        <v>0</v>
      </c>
    </row>
    <row r="7" spans="1:7" s="538" customFormat="1">
      <c r="A7" s="298"/>
      <c r="B7" s="539" t="s">
        <v>1023</v>
      </c>
      <c r="C7" s="294"/>
      <c r="D7" s="294"/>
      <c r="E7" s="537"/>
      <c r="F7" s="301">
        <f t="shared" si="0"/>
        <v>0</v>
      </c>
    </row>
    <row r="8" spans="1:7" s="538" customFormat="1" ht="29">
      <c r="A8" s="294" t="s">
        <v>853</v>
      </c>
      <c r="B8" s="540" t="s">
        <v>1024</v>
      </c>
      <c r="C8" s="541" t="s">
        <v>12</v>
      </c>
      <c r="D8" s="541">
        <v>162</v>
      </c>
      <c r="E8" s="542"/>
      <c r="F8" s="301">
        <f t="shared" si="0"/>
        <v>0</v>
      </c>
    </row>
    <row r="9" spans="1:7" s="538" customFormat="1" ht="43.5">
      <c r="A9" s="294" t="s">
        <v>854</v>
      </c>
      <c r="B9" s="540" t="s">
        <v>1025</v>
      </c>
      <c r="C9" s="541" t="s">
        <v>425</v>
      </c>
      <c r="D9" s="541">
        <v>7</v>
      </c>
      <c r="E9" s="542"/>
      <c r="F9" s="301">
        <f t="shared" si="0"/>
        <v>0</v>
      </c>
    </row>
    <row r="10" spans="1:7" s="538" customFormat="1" ht="72.5">
      <c r="A10" s="294"/>
      <c r="B10" s="536" t="s">
        <v>1026</v>
      </c>
      <c r="C10" s="294"/>
      <c r="D10" s="294"/>
      <c r="E10" s="537"/>
      <c r="F10" s="301">
        <f t="shared" si="0"/>
        <v>0</v>
      </c>
    </row>
    <row r="11" spans="1:7" s="538" customFormat="1">
      <c r="A11" s="294"/>
      <c r="B11" s="539" t="s">
        <v>1027</v>
      </c>
      <c r="C11" s="294"/>
      <c r="D11" s="294"/>
      <c r="E11" s="537"/>
      <c r="F11" s="301">
        <f t="shared" si="0"/>
        <v>0</v>
      </c>
    </row>
    <row r="12" spans="1:7" s="538" customFormat="1" ht="87">
      <c r="A12" s="294" t="s">
        <v>855</v>
      </c>
      <c r="B12" s="540" t="s">
        <v>1028</v>
      </c>
      <c r="C12" s="294" t="s">
        <v>12</v>
      </c>
      <c r="D12" s="294">
        <v>162</v>
      </c>
      <c r="E12" s="537"/>
      <c r="F12" s="301">
        <f t="shared" si="0"/>
        <v>0</v>
      </c>
    </row>
    <row r="13" spans="1:7" s="538" customFormat="1" ht="72.5">
      <c r="A13" s="294" t="s">
        <v>1035</v>
      </c>
      <c r="B13" s="540" t="s">
        <v>1029</v>
      </c>
      <c r="C13" s="294" t="s">
        <v>50</v>
      </c>
      <c r="D13" s="294">
        <f>320*7</f>
        <v>2240</v>
      </c>
      <c r="E13" s="537"/>
      <c r="F13" s="301">
        <f t="shared" si="0"/>
        <v>0</v>
      </c>
    </row>
    <row r="14" spans="1:7" s="538" customFormat="1">
      <c r="A14" s="294"/>
      <c r="B14" s="536"/>
      <c r="C14" s="294"/>
      <c r="D14" s="294"/>
      <c r="E14" s="537"/>
      <c r="F14" s="543"/>
    </row>
    <row r="15" spans="1:7" s="538" customFormat="1">
      <c r="A15" s="294"/>
      <c r="B15" s="536" t="s">
        <v>618</v>
      </c>
      <c r="C15" s="294"/>
      <c r="D15" s="294"/>
      <c r="E15" s="537"/>
      <c r="F15" s="543">
        <f>SUM(F5:F14)</f>
        <v>0</v>
      </c>
    </row>
    <row r="16" spans="1:7" s="538" customFormat="1">
      <c r="A16" s="294"/>
      <c r="B16" s="536"/>
      <c r="C16" s="294"/>
      <c r="D16" s="294"/>
      <c r="E16" s="537"/>
      <c r="F16" s="543"/>
    </row>
    <row r="17" spans="1:16" s="105" customFormat="1" ht="29">
      <c r="A17" s="391" t="s">
        <v>423</v>
      </c>
      <c r="B17" s="391" t="s">
        <v>1</v>
      </c>
      <c r="C17" s="391" t="s">
        <v>424</v>
      </c>
      <c r="D17" s="392" t="s">
        <v>426</v>
      </c>
      <c r="E17" s="544"/>
      <c r="F17" s="545" t="s">
        <v>21</v>
      </c>
    </row>
    <row r="18" spans="1:16" s="101" customFormat="1">
      <c r="A18" s="546">
        <v>13.3</v>
      </c>
      <c r="B18" s="547" t="s">
        <v>1030</v>
      </c>
      <c r="C18" s="548"/>
      <c r="D18" s="549"/>
      <c r="E18" s="550"/>
      <c r="F18" s="551">
        <f>D18*E18</f>
        <v>0</v>
      </c>
    </row>
    <row r="19" spans="1:16" s="101" customFormat="1" ht="29">
      <c r="A19" s="552" t="s">
        <v>856</v>
      </c>
      <c r="B19" s="553" t="s">
        <v>435</v>
      </c>
      <c r="C19" s="548" t="s">
        <v>33</v>
      </c>
      <c r="D19" s="549">
        <f>320*2.13</f>
        <v>681.59999999999991</v>
      </c>
      <c r="E19" s="550"/>
      <c r="F19" s="551">
        <f>D19*E19</f>
        <v>0</v>
      </c>
    </row>
    <row r="20" spans="1:16" s="101" customFormat="1" ht="43.5">
      <c r="A20" s="552" t="s">
        <v>857</v>
      </c>
      <c r="B20" s="553" t="s">
        <v>1031</v>
      </c>
      <c r="C20" s="548" t="s">
        <v>50</v>
      </c>
      <c r="D20" s="549">
        <v>320</v>
      </c>
      <c r="E20" s="550"/>
      <c r="F20" s="551">
        <f>D20*E20</f>
        <v>0</v>
      </c>
    </row>
    <row r="21" spans="1:16" s="101" customFormat="1" ht="43.5">
      <c r="A21" s="552" t="s">
        <v>858</v>
      </c>
      <c r="B21" s="553" t="s">
        <v>436</v>
      </c>
      <c r="C21" s="548" t="s">
        <v>425</v>
      </c>
      <c r="D21" s="549">
        <f>D19*2.21</f>
        <v>1506.3359999999998</v>
      </c>
      <c r="E21" s="550"/>
      <c r="F21" s="551">
        <f>D21*E21</f>
        <v>0</v>
      </c>
    </row>
    <row r="22" spans="1:16" s="101" customFormat="1">
      <c r="A22" s="552"/>
      <c r="B22" s="553"/>
      <c r="C22" s="548"/>
      <c r="D22" s="549"/>
      <c r="E22" s="550"/>
      <c r="F22" s="551"/>
    </row>
    <row r="23" spans="1:16" s="101" customFormat="1">
      <c r="A23" s="552"/>
      <c r="B23" s="553"/>
      <c r="C23" s="548"/>
      <c r="D23" s="549"/>
      <c r="E23" s="550"/>
      <c r="F23" s="551"/>
    </row>
    <row r="24" spans="1:16" s="102" customFormat="1">
      <c r="A24" s="546"/>
      <c r="B24" s="547" t="s">
        <v>618</v>
      </c>
      <c r="C24" s="554"/>
      <c r="D24" s="555"/>
      <c r="E24" s="556"/>
      <c r="F24" s="557">
        <f>SUM(F18:F22)</f>
        <v>0</v>
      </c>
    </row>
    <row r="25" spans="1:16" s="101" customFormat="1">
      <c r="A25" s="552"/>
      <c r="B25" s="553"/>
      <c r="C25" s="548"/>
      <c r="D25" s="549"/>
      <c r="E25" s="550"/>
      <c r="F25" s="551"/>
    </row>
    <row r="26" spans="1:16" s="105" customFormat="1" ht="29">
      <c r="A26" s="112" t="s">
        <v>423</v>
      </c>
      <c r="B26" s="112" t="s">
        <v>1</v>
      </c>
      <c r="C26" s="112" t="s">
        <v>424</v>
      </c>
      <c r="D26" s="113" t="s">
        <v>426</v>
      </c>
      <c r="E26" s="116" t="s">
        <v>368</v>
      </c>
      <c r="F26" s="114" t="s">
        <v>21</v>
      </c>
    </row>
    <row r="27" spans="1:16" s="102" customFormat="1">
      <c r="A27" s="546">
        <v>13.4</v>
      </c>
      <c r="B27" s="547" t="s">
        <v>453</v>
      </c>
      <c r="C27" s="554"/>
      <c r="D27" s="555"/>
      <c r="E27" s="556"/>
      <c r="F27" s="557"/>
    </row>
    <row r="28" spans="1:16" s="101" customFormat="1">
      <c r="A28" s="552"/>
      <c r="B28" s="553"/>
      <c r="C28" s="548"/>
      <c r="D28" s="549"/>
      <c r="E28" s="550"/>
      <c r="F28" s="551"/>
    </row>
    <row r="29" spans="1:16" s="104" customFormat="1" ht="101.5">
      <c r="A29" s="558" t="s">
        <v>1036</v>
      </c>
      <c r="B29" s="559" t="s">
        <v>452</v>
      </c>
      <c r="C29" s="558" t="s">
        <v>5</v>
      </c>
      <c r="D29" s="558">
        <v>215</v>
      </c>
      <c r="E29" s="560"/>
      <c r="F29" s="561">
        <f>D29*E29</f>
        <v>0</v>
      </c>
      <c r="G29" s="108"/>
      <c r="H29" s="108"/>
      <c r="I29" s="108"/>
      <c r="J29" s="108"/>
      <c r="K29" s="108"/>
      <c r="L29" s="108"/>
      <c r="M29" s="108"/>
      <c r="N29" s="108"/>
      <c r="O29" s="108"/>
      <c r="P29" s="108"/>
    </row>
    <row r="30" spans="1:16" s="104" customFormat="1">
      <c r="A30" s="558"/>
      <c r="B30" s="559"/>
      <c r="C30" s="558"/>
      <c r="D30" s="558"/>
      <c r="E30" s="560"/>
      <c r="F30" s="561"/>
      <c r="G30" s="108"/>
      <c r="H30" s="108"/>
      <c r="I30" s="108"/>
      <c r="J30" s="108"/>
      <c r="K30" s="108"/>
      <c r="L30" s="108"/>
      <c r="M30" s="108"/>
      <c r="N30" s="108"/>
      <c r="O30" s="108"/>
      <c r="P30" s="108"/>
    </row>
    <row r="31" spans="1:16" s="104" customFormat="1" ht="58">
      <c r="A31" s="558" t="s">
        <v>1038</v>
      </c>
      <c r="B31" s="559" t="s">
        <v>451</v>
      </c>
      <c r="C31" s="558" t="s">
        <v>449</v>
      </c>
      <c r="D31" s="558">
        <f>320*4</f>
        <v>1280</v>
      </c>
      <c r="E31" s="560"/>
      <c r="F31" s="561">
        <f>D31*E31</f>
        <v>0</v>
      </c>
      <c r="G31" s="108"/>
      <c r="H31" s="108"/>
      <c r="I31" s="108"/>
      <c r="J31" s="108"/>
      <c r="K31" s="108"/>
      <c r="L31" s="108"/>
      <c r="M31" s="108"/>
      <c r="N31" s="108"/>
      <c r="O31" s="108"/>
      <c r="P31" s="108"/>
    </row>
    <row r="32" spans="1:16" s="104" customFormat="1">
      <c r="A32" s="558"/>
      <c r="B32" s="559"/>
      <c r="C32" s="558"/>
      <c r="D32" s="558"/>
      <c r="E32" s="560"/>
      <c r="F32" s="561"/>
      <c r="G32" s="109"/>
      <c r="H32" s="109"/>
      <c r="I32" s="109"/>
      <c r="J32" s="109"/>
      <c r="K32" s="108"/>
      <c r="L32" s="108"/>
      <c r="M32" s="108"/>
      <c r="N32" s="108"/>
      <c r="O32" s="108"/>
      <c r="P32" s="108"/>
    </row>
    <row r="33" spans="1:20" s="104" customFormat="1" ht="44.4" customHeight="1">
      <c r="A33" s="558" t="s">
        <v>1037</v>
      </c>
      <c r="B33" s="559" t="s">
        <v>450</v>
      </c>
      <c r="C33" s="558" t="s">
        <v>449</v>
      </c>
      <c r="D33" s="558">
        <v>320</v>
      </c>
      <c r="E33" s="560"/>
      <c r="F33" s="561">
        <f>D33*E33</f>
        <v>0</v>
      </c>
      <c r="G33" s="109"/>
      <c r="H33" s="109"/>
      <c r="I33" s="109"/>
      <c r="J33" s="109"/>
      <c r="K33" s="108"/>
      <c r="L33" s="108"/>
      <c r="M33" s="108"/>
      <c r="N33" s="108"/>
      <c r="O33" s="108"/>
      <c r="P33" s="108"/>
    </row>
    <row r="34" spans="1:20" s="101" customFormat="1">
      <c r="A34" s="552"/>
      <c r="B34" s="553"/>
      <c r="C34" s="548"/>
      <c r="D34" s="549"/>
      <c r="E34" s="550"/>
    </row>
    <row r="35" spans="1:20" s="119" customFormat="1">
      <c r="A35" s="463"/>
      <c r="B35" s="536" t="s">
        <v>1032</v>
      </c>
      <c r="C35" s="463"/>
      <c r="D35" s="463"/>
      <c r="E35" s="562"/>
      <c r="F35" s="557">
        <f>SUM(F29:F33)</f>
        <v>0</v>
      </c>
    </row>
    <row r="36" spans="1:20" s="106" customFormat="1" ht="15" customHeight="1">
      <c r="A36" s="563"/>
      <c r="B36" s="564"/>
      <c r="C36" s="563"/>
      <c r="D36" s="279"/>
      <c r="E36" s="534"/>
      <c r="F36" s="301"/>
      <c r="H36" s="107"/>
      <c r="I36" s="107"/>
      <c r="J36" s="107"/>
      <c r="K36" s="107"/>
      <c r="L36" s="107"/>
      <c r="M36" s="107"/>
      <c r="N36" s="107"/>
      <c r="O36" s="107"/>
      <c r="P36" s="107"/>
      <c r="Q36" s="107"/>
      <c r="R36" s="107"/>
      <c r="S36" s="107"/>
      <c r="T36" s="107"/>
    </row>
    <row r="37" spans="1:20" s="120" customFormat="1" ht="15" customHeight="1">
      <c r="A37" s="565"/>
      <c r="B37" s="566" t="s">
        <v>1926</v>
      </c>
      <c r="C37" s="565"/>
      <c r="D37" s="280"/>
      <c r="E37" s="567"/>
      <c r="F37" s="568"/>
      <c r="H37" s="121"/>
      <c r="I37" s="121"/>
      <c r="J37" s="121"/>
      <c r="K37" s="121"/>
      <c r="L37" s="121"/>
      <c r="M37" s="121"/>
      <c r="N37" s="121"/>
      <c r="O37" s="121"/>
      <c r="P37" s="121"/>
      <c r="Q37" s="121"/>
      <c r="R37" s="121"/>
      <c r="S37" s="121"/>
      <c r="T37" s="121"/>
    </row>
    <row r="38" spans="1:20" s="106" customFormat="1" ht="15" customHeight="1">
      <c r="A38" s="563"/>
      <c r="B38" s="564"/>
      <c r="C38" s="563"/>
      <c r="D38" s="279"/>
      <c r="E38" s="534"/>
      <c r="F38" s="301"/>
      <c r="H38" s="107"/>
      <c r="I38" s="107"/>
      <c r="J38" s="107"/>
      <c r="K38" s="107"/>
      <c r="L38" s="107"/>
      <c r="M38" s="107"/>
      <c r="N38" s="107"/>
      <c r="O38" s="107"/>
      <c r="P38" s="107"/>
      <c r="Q38" s="107"/>
      <c r="R38" s="107"/>
      <c r="S38" s="107"/>
      <c r="T38" s="107"/>
    </row>
    <row r="39" spans="1:20" s="106" customFormat="1" ht="15" customHeight="1">
      <c r="A39" s="563"/>
      <c r="B39" s="564" t="s">
        <v>1033</v>
      </c>
      <c r="C39" s="563"/>
      <c r="D39" s="279"/>
      <c r="E39" s="534"/>
      <c r="F39" s="301">
        <f>F15</f>
        <v>0</v>
      </c>
      <c r="H39" s="107"/>
      <c r="I39" s="107"/>
      <c r="J39" s="107"/>
      <c r="K39" s="107"/>
      <c r="L39" s="107"/>
      <c r="M39" s="107"/>
      <c r="N39" s="107"/>
      <c r="O39" s="107"/>
      <c r="P39" s="107"/>
      <c r="Q39" s="107"/>
      <c r="R39" s="107"/>
      <c r="S39" s="107"/>
      <c r="T39" s="107"/>
    </row>
    <row r="40" spans="1:20" s="106" customFormat="1" ht="15" customHeight="1">
      <c r="A40" s="563"/>
      <c r="B40" s="564"/>
      <c r="C40" s="563"/>
      <c r="D40" s="279"/>
      <c r="E40" s="534"/>
      <c r="F40" s="301"/>
      <c r="H40" s="107"/>
      <c r="I40" s="107"/>
      <c r="J40" s="107"/>
      <c r="K40" s="107"/>
      <c r="L40" s="107"/>
      <c r="M40" s="107"/>
      <c r="N40" s="107"/>
      <c r="O40" s="107"/>
      <c r="P40" s="107"/>
      <c r="Q40" s="107"/>
      <c r="R40" s="107"/>
      <c r="S40" s="107"/>
      <c r="T40" s="107"/>
    </row>
    <row r="41" spans="1:20" s="106" customFormat="1" ht="15" customHeight="1">
      <c r="A41" s="563"/>
      <c r="B41" s="564" t="s">
        <v>454</v>
      </c>
      <c r="C41" s="563"/>
      <c r="D41" s="279"/>
      <c r="E41" s="534"/>
      <c r="F41" s="301">
        <f>F24</f>
        <v>0</v>
      </c>
      <c r="H41" s="107"/>
      <c r="I41" s="107"/>
      <c r="J41" s="107"/>
      <c r="K41" s="107"/>
      <c r="L41" s="107"/>
      <c r="M41" s="107"/>
      <c r="N41" s="107"/>
      <c r="O41" s="107"/>
      <c r="P41" s="107"/>
      <c r="Q41" s="107"/>
      <c r="R41" s="107"/>
      <c r="S41" s="107"/>
      <c r="T41" s="107"/>
    </row>
    <row r="42" spans="1:20" s="106" customFormat="1" ht="15" customHeight="1">
      <c r="A42" s="563"/>
      <c r="B42" s="564"/>
      <c r="C42" s="563"/>
      <c r="D42" s="279"/>
      <c r="E42" s="534"/>
      <c r="F42" s="301"/>
      <c r="H42" s="107"/>
      <c r="I42" s="107"/>
      <c r="J42" s="107"/>
      <c r="K42" s="107"/>
      <c r="L42" s="107"/>
      <c r="M42" s="107"/>
      <c r="N42" s="107"/>
      <c r="O42" s="107"/>
      <c r="P42" s="107"/>
      <c r="Q42" s="107"/>
      <c r="R42" s="107"/>
      <c r="S42" s="107"/>
      <c r="T42" s="107"/>
    </row>
    <row r="43" spans="1:20" s="106" customFormat="1" ht="15" customHeight="1">
      <c r="A43" s="563"/>
      <c r="B43" s="564" t="s">
        <v>1034</v>
      </c>
      <c r="C43" s="563"/>
      <c r="D43" s="279"/>
      <c r="E43" s="534"/>
      <c r="F43" s="301">
        <f>F35</f>
        <v>0</v>
      </c>
      <c r="H43" s="107"/>
      <c r="I43" s="107"/>
      <c r="J43" s="107"/>
      <c r="K43" s="107"/>
      <c r="L43" s="107"/>
      <c r="M43" s="107"/>
      <c r="N43" s="107"/>
      <c r="O43" s="107"/>
      <c r="P43" s="107"/>
      <c r="Q43" s="107"/>
      <c r="R43" s="107"/>
      <c r="S43" s="107"/>
      <c r="T43" s="107"/>
    </row>
    <row r="44" spans="1:20" s="106" customFormat="1" ht="15" customHeight="1">
      <c r="A44" s="563"/>
      <c r="B44" s="564"/>
      <c r="C44" s="563"/>
      <c r="D44" s="279"/>
      <c r="E44" s="534"/>
      <c r="F44" s="301"/>
      <c r="H44" s="107"/>
      <c r="I44" s="107"/>
      <c r="J44" s="107"/>
      <c r="K44" s="107"/>
      <c r="L44" s="107"/>
      <c r="M44" s="107"/>
      <c r="N44" s="107"/>
      <c r="O44" s="107"/>
      <c r="P44" s="107"/>
      <c r="Q44" s="107"/>
      <c r="R44" s="107"/>
      <c r="S44" s="107"/>
      <c r="T44" s="107"/>
    </row>
    <row r="45" spans="1:20" s="120" customFormat="1" ht="15" customHeight="1">
      <c r="A45" s="565"/>
      <c r="B45" s="566" t="s">
        <v>587</v>
      </c>
      <c r="C45" s="565"/>
      <c r="D45" s="280"/>
      <c r="E45" s="567"/>
      <c r="F45" s="568">
        <f>SUM(F39:F44)</f>
        <v>0</v>
      </c>
      <c r="H45" s="121"/>
      <c r="I45" s="121"/>
      <c r="J45" s="121"/>
      <c r="K45" s="121"/>
      <c r="L45" s="121"/>
      <c r="M45" s="121"/>
      <c r="N45" s="121"/>
      <c r="O45" s="121"/>
      <c r="P45" s="121"/>
      <c r="Q45" s="121"/>
      <c r="R45" s="121"/>
      <c r="S45" s="121"/>
      <c r="T45" s="121"/>
    </row>
    <row r="46" spans="1:20" s="106" customFormat="1" ht="15" customHeight="1">
      <c r="A46" s="110"/>
      <c r="B46" s="111"/>
      <c r="C46" s="182"/>
      <c r="D46" s="183"/>
      <c r="E46" s="184"/>
      <c r="F46" s="115"/>
      <c r="G46" s="107"/>
      <c r="H46" s="107"/>
      <c r="I46" s="107"/>
      <c r="J46" s="107"/>
      <c r="K46" s="107"/>
      <c r="L46" s="107"/>
      <c r="M46" s="107"/>
      <c r="N46" s="107"/>
      <c r="O46" s="107"/>
      <c r="P46" s="107"/>
      <c r="Q46" s="107"/>
      <c r="R46" s="107"/>
      <c r="S46" s="107"/>
    </row>
    <row r="47" spans="1:20" s="106" customFormat="1" ht="15" customHeight="1">
      <c r="A47" s="110"/>
      <c r="B47" s="111"/>
      <c r="C47" s="182"/>
      <c r="D47" s="183"/>
      <c r="E47" s="184"/>
      <c r="F47" s="115"/>
      <c r="G47" s="107"/>
      <c r="H47" s="107"/>
      <c r="I47" s="107"/>
      <c r="J47" s="107"/>
      <c r="K47" s="107"/>
      <c r="L47" s="107"/>
      <c r="M47" s="107"/>
      <c r="N47" s="107"/>
      <c r="O47" s="107"/>
      <c r="P47" s="107"/>
      <c r="Q47" s="107"/>
      <c r="R47" s="107"/>
      <c r="S47" s="107"/>
    </row>
    <row r="48" spans="1:20" s="106" customFormat="1" ht="15" customHeight="1">
      <c r="A48" s="110"/>
      <c r="B48" s="111"/>
      <c r="C48" s="182"/>
      <c r="D48" s="183"/>
      <c r="E48" s="184"/>
      <c r="F48" s="115"/>
      <c r="G48" s="107"/>
      <c r="H48" s="107"/>
      <c r="I48" s="107"/>
      <c r="J48" s="107"/>
      <c r="K48" s="107"/>
      <c r="L48" s="107"/>
      <c r="M48" s="107"/>
      <c r="N48" s="107"/>
      <c r="O48" s="107"/>
      <c r="P48" s="107"/>
      <c r="Q48" s="107"/>
      <c r="R48" s="107"/>
      <c r="S48" s="107"/>
    </row>
    <row r="49" spans="1:19" s="106" customFormat="1" ht="15" customHeight="1">
      <c r="A49" s="110"/>
      <c r="B49" s="111"/>
      <c r="C49" s="182"/>
      <c r="D49" s="183"/>
      <c r="E49" s="184"/>
      <c r="F49" s="115"/>
      <c r="G49" s="107"/>
      <c r="H49" s="107"/>
      <c r="I49" s="107"/>
      <c r="J49" s="107"/>
      <c r="K49" s="107"/>
      <c r="L49" s="107"/>
      <c r="M49" s="107"/>
      <c r="N49" s="107"/>
      <c r="O49" s="107"/>
      <c r="P49" s="107"/>
      <c r="Q49" s="107"/>
      <c r="R49" s="107"/>
      <c r="S49" s="107"/>
    </row>
    <row r="50" spans="1:19" s="106" customFormat="1" ht="15" customHeight="1">
      <c r="A50" s="110"/>
      <c r="B50" s="111"/>
      <c r="C50" s="182"/>
      <c r="D50" s="183"/>
      <c r="E50" s="184"/>
      <c r="F50" s="115"/>
      <c r="G50" s="107"/>
      <c r="H50" s="107"/>
      <c r="I50" s="107"/>
      <c r="J50" s="107"/>
      <c r="K50" s="107"/>
      <c r="L50" s="107"/>
      <c r="M50" s="107"/>
      <c r="N50" s="107"/>
      <c r="O50" s="107"/>
      <c r="P50" s="107"/>
      <c r="Q50" s="107"/>
      <c r="R50" s="107"/>
      <c r="S50" s="107"/>
    </row>
    <row r="51" spans="1:19" s="106" customFormat="1" ht="15" customHeight="1">
      <c r="A51" s="110"/>
      <c r="B51" s="111"/>
      <c r="C51" s="182"/>
      <c r="D51" s="183"/>
      <c r="E51" s="184"/>
      <c r="F51" s="115"/>
      <c r="G51" s="107"/>
      <c r="H51" s="107"/>
      <c r="I51" s="107"/>
      <c r="J51" s="107"/>
      <c r="K51" s="107"/>
      <c r="L51" s="107"/>
      <c r="M51" s="107"/>
      <c r="N51" s="107"/>
      <c r="O51" s="107"/>
      <c r="P51" s="107"/>
      <c r="Q51" s="107"/>
      <c r="R51" s="107"/>
      <c r="S51" s="107"/>
    </row>
    <row r="52" spans="1:19" s="106" customFormat="1" ht="15" customHeight="1">
      <c r="A52" s="110"/>
      <c r="B52" s="111"/>
      <c r="C52" s="182"/>
      <c r="D52" s="183"/>
      <c r="E52" s="184"/>
      <c r="F52" s="115"/>
      <c r="G52" s="107"/>
      <c r="H52" s="107"/>
      <c r="I52" s="107"/>
      <c r="J52" s="107"/>
      <c r="K52" s="107"/>
      <c r="L52" s="107"/>
      <c r="M52" s="107"/>
      <c r="N52" s="107"/>
      <c r="O52" s="107"/>
      <c r="P52" s="107"/>
      <c r="Q52" s="107"/>
      <c r="R52" s="107"/>
      <c r="S52" s="107"/>
    </row>
    <row r="53" spans="1:19" s="106" customFormat="1" ht="15" customHeight="1">
      <c r="A53" s="110"/>
      <c r="B53" s="111"/>
      <c r="C53" s="182"/>
      <c r="D53" s="183"/>
      <c r="E53" s="184"/>
      <c r="F53" s="115"/>
      <c r="G53" s="107"/>
      <c r="H53" s="107"/>
      <c r="I53" s="107"/>
      <c r="J53" s="107"/>
      <c r="K53" s="107"/>
      <c r="L53" s="107"/>
      <c r="M53" s="107"/>
      <c r="N53" s="107"/>
      <c r="O53" s="107"/>
      <c r="P53" s="107"/>
      <c r="Q53" s="107"/>
      <c r="R53" s="107"/>
      <c r="S53" s="107"/>
    </row>
    <row r="54" spans="1:19" s="106" customFormat="1" ht="15" customHeight="1">
      <c r="A54" s="110"/>
      <c r="B54" s="111"/>
      <c r="C54" s="182"/>
      <c r="D54" s="183"/>
      <c r="E54" s="184"/>
      <c r="F54" s="115"/>
      <c r="G54" s="107"/>
      <c r="H54" s="107"/>
      <c r="I54" s="107"/>
      <c r="J54" s="107"/>
      <c r="K54" s="107"/>
      <c r="L54" s="107"/>
      <c r="M54" s="107"/>
      <c r="N54" s="107"/>
      <c r="O54" s="107"/>
      <c r="P54" s="107"/>
      <c r="Q54" s="107"/>
      <c r="R54" s="107"/>
      <c r="S54" s="107"/>
    </row>
    <row r="55" spans="1:19" s="106" customFormat="1" ht="15" customHeight="1">
      <c r="A55" s="110"/>
      <c r="B55" s="111"/>
      <c r="C55" s="182"/>
      <c r="D55" s="183"/>
      <c r="E55" s="184"/>
      <c r="F55" s="115"/>
      <c r="G55" s="107"/>
      <c r="H55" s="107"/>
      <c r="I55" s="107"/>
      <c r="J55" s="107"/>
      <c r="K55" s="107"/>
      <c r="L55" s="107"/>
      <c r="M55" s="107"/>
      <c r="N55" s="107"/>
      <c r="O55" s="107"/>
      <c r="P55" s="107"/>
      <c r="Q55" s="107"/>
      <c r="R55" s="107"/>
      <c r="S55" s="107"/>
    </row>
    <row r="56" spans="1:19" s="106" customFormat="1" ht="15" customHeight="1">
      <c r="A56" s="110"/>
      <c r="B56" s="111"/>
      <c r="C56" s="182"/>
      <c r="D56" s="183"/>
      <c r="E56" s="184"/>
      <c r="F56" s="115"/>
      <c r="G56" s="107"/>
      <c r="H56" s="107"/>
      <c r="I56" s="107"/>
      <c r="J56" s="107"/>
      <c r="K56" s="107"/>
      <c r="L56" s="107"/>
      <c r="M56" s="107"/>
      <c r="N56" s="107"/>
      <c r="O56" s="107"/>
      <c r="P56" s="107"/>
      <c r="Q56" s="107"/>
      <c r="R56" s="107"/>
      <c r="S56" s="107"/>
    </row>
    <row r="57" spans="1:19" s="106" customFormat="1" ht="15" customHeight="1">
      <c r="A57" s="110"/>
      <c r="B57" s="111"/>
      <c r="C57" s="182"/>
      <c r="D57" s="183"/>
      <c r="E57" s="184"/>
      <c r="F57" s="115"/>
      <c r="G57" s="107"/>
      <c r="H57" s="107"/>
      <c r="I57" s="107"/>
      <c r="J57" s="107"/>
      <c r="K57" s="107"/>
      <c r="L57" s="107"/>
      <c r="M57" s="107"/>
      <c r="N57" s="107"/>
      <c r="O57" s="107"/>
      <c r="P57" s="107"/>
      <c r="Q57" s="107"/>
      <c r="R57" s="107"/>
      <c r="S57" s="107"/>
    </row>
    <row r="58" spans="1:19" s="106" customFormat="1" ht="15" customHeight="1">
      <c r="A58" s="110"/>
      <c r="B58" s="111"/>
      <c r="C58" s="182"/>
      <c r="D58" s="183"/>
      <c r="E58" s="184"/>
      <c r="F58" s="115"/>
      <c r="G58" s="107"/>
      <c r="H58" s="107"/>
      <c r="I58" s="107"/>
      <c r="J58" s="107"/>
      <c r="K58" s="107"/>
      <c r="L58" s="107"/>
      <c r="M58" s="107"/>
      <c r="N58" s="107"/>
      <c r="O58" s="107"/>
      <c r="P58" s="107"/>
      <c r="Q58" s="107"/>
      <c r="R58" s="107"/>
      <c r="S58" s="107"/>
    </row>
    <row r="59" spans="1:19" s="106" customFormat="1" ht="15" customHeight="1">
      <c r="A59" s="110"/>
      <c r="B59" s="111"/>
      <c r="C59" s="182"/>
      <c r="D59" s="183"/>
      <c r="E59" s="184"/>
      <c r="F59" s="115"/>
      <c r="G59" s="107"/>
      <c r="H59" s="107"/>
      <c r="I59" s="107"/>
      <c r="J59" s="107"/>
      <c r="K59" s="107"/>
      <c r="L59" s="107"/>
      <c r="M59" s="107"/>
      <c r="N59" s="107"/>
      <c r="O59" s="107"/>
      <c r="P59" s="107"/>
      <c r="Q59" s="107"/>
      <c r="R59" s="107"/>
      <c r="S59" s="107"/>
    </row>
    <row r="60" spans="1:19" s="106" customFormat="1" ht="15" customHeight="1">
      <c r="A60" s="110"/>
      <c r="B60" s="111"/>
      <c r="C60" s="182"/>
      <c r="D60" s="183"/>
      <c r="E60" s="184"/>
      <c r="F60" s="115"/>
      <c r="G60" s="107"/>
      <c r="H60" s="107"/>
      <c r="I60" s="107"/>
      <c r="J60" s="107"/>
      <c r="K60" s="107"/>
      <c r="L60" s="107"/>
      <c r="M60" s="107"/>
      <c r="N60" s="107"/>
      <c r="O60" s="107"/>
      <c r="P60" s="107"/>
      <c r="Q60" s="107"/>
      <c r="R60" s="107"/>
      <c r="S60" s="107"/>
    </row>
    <row r="61" spans="1:19" s="106" customFormat="1" ht="15" customHeight="1">
      <c r="A61" s="110"/>
      <c r="B61" s="111"/>
      <c r="C61" s="182"/>
      <c r="D61" s="183"/>
      <c r="E61" s="184"/>
      <c r="F61" s="115"/>
      <c r="G61" s="107"/>
      <c r="H61" s="107"/>
      <c r="I61" s="107"/>
      <c r="J61" s="107"/>
      <c r="K61" s="107"/>
      <c r="L61" s="107"/>
      <c r="M61" s="107"/>
      <c r="N61" s="107"/>
      <c r="O61" s="107"/>
      <c r="P61" s="107"/>
      <c r="Q61" s="107"/>
      <c r="R61" s="107"/>
      <c r="S61" s="107"/>
    </row>
    <row r="62" spans="1:19" s="106" customFormat="1" ht="15" customHeight="1">
      <c r="A62" s="110"/>
      <c r="B62" s="111"/>
      <c r="C62" s="182"/>
      <c r="D62" s="183"/>
      <c r="E62" s="184"/>
      <c r="F62" s="115"/>
      <c r="G62" s="107"/>
      <c r="H62" s="107"/>
      <c r="I62" s="107"/>
      <c r="J62" s="107"/>
      <c r="K62" s="107"/>
      <c r="L62" s="107"/>
      <c r="M62" s="107"/>
      <c r="N62" s="107"/>
      <c r="O62" s="107"/>
      <c r="P62" s="107"/>
      <c r="Q62" s="107"/>
      <c r="R62" s="107"/>
      <c r="S62" s="107"/>
    </row>
    <row r="63" spans="1:19" s="106" customFormat="1" ht="15" customHeight="1">
      <c r="A63" s="110"/>
      <c r="B63" s="111"/>
      <c r="C63" s="182"/>
      <c r="D63" s="183"/>
      <c r="E63" s="184"/>
      <c r="F63" s="115"/>
      <c r="G63" s="107"/>
      <c r="H63" s="107"/>
      <c r="I63" s="107"/>
      <c r="J63" s="107"/>
      <c r="K63" s="107"/>
      <c r="L63" s="107"/>
      <c r="M63" s="107"/>
      <c r="N63" s="107"/>
      <c r="O63" s="107"/>
      <c r="P63" s="107"/>
      <c r="Q63" s="107"/>
      <c r="R63" s="107"/>
      <c r="S63" s="107"/>
    </row>
    <row r="64" spans="1:19" s="106" customFormat="1" ht="15" customHeight="1">
      <c r="A64" s="110"/>
      <c r="B64" s="111"/>
      <c r="C64" s="182"/>
      <c r="D64" s="183"/>
      <c r="E64" s="184"/>
      <c r="F64" s="115"/>
      <c r="G64" s="107"/>
      <c r="H64" s="107"/>
      <c r="I64" s="107"/>
      <c r="J64" s="107"/>
      <c r="K64" s="107"/>
      <c r="L64" s="107"/>
      <c r="M64" s="107"/>
      <c r="N64" s="107"/>
      <c r="O64" s="107"/>
      <c r="P64" s="107"/>
      <c r="Q64" s="107"/>
      <c r="R64" s="107"/>
      <c r="S64" s="107"/>
    </row>
    <row r="65" spans="1:19" s="106" customFormat="1" ht="15" customHeight="1">
      <c r="A65" s="110"/>
      <c r="B65" s="111"/>
      <c r="C65" s="182"/>
      <c r="D65" s="183"/>
      <c r="E65" s="184"/>
      <c r="F65" s="115"/>
      <c r="G65" s="107"/>
      <c r="H65" s="107"/>
      <c r="I65" s="107"/>
      <c r="J65" s="107"/>
      <c r="K65" s="107"/>
      <c r="L65" s="107"/>
      <c r="M65" s="107"/>
      <c r="N65" s="107"/>
      <c r="O65" s="107"/>
      <c r="P65" s="107"/>
      <c r="Q65" s="107"/>
      <c r="R65" s="107"/>
      <c r="S65" s="107"/>
    </row>
    <row r="66" spans="1:19" s="106" customFormat="1" ht="15" customHeight="1">
      <c r="A66" s="110"/>
      <c r="B66" s="111"/>
      <c r="C66" s="182"/>
      <c r="D66" s="183"/>
      <c r="E66" s="184"/>
      <c r="F66" s="115"/>
      <c r="G66" s="107"/>
      <c r="H66" s="107"/>
      <c r="I66" s="107"/>
      <c r="J66" s="107"/>
      <c r="K66" s="107"/>
      <c r="L66" s="107"/>
      <c r="M66" s="107"/>
      <c r="N66" s="107"/>
      <c r="O66" s="107"/>
      <c r="P66" s="107"/>
      <c r="Q66" s="107"/>
      <c r="R66" s="107"/>
      <c r="S66" s="107"/>
    </row>
    <row r="67" spans="1:19" s="106" customFormat="1" ht="15" customHeight="1">
      <c r="A67" s="110"/>
      <c r="B67" s="111"/>
      <c r="C67" s="182"/>
      <c r="D67" s="183"/>
      <c r="E67" s="184"/>
      <c r="F67" s="115"/>
      <c r="G67" s="107"/>
      <c r="H67" s="107"/>
      <c r="I67" s="107"/>
      <c r="J67" s="107"/>
      <c r="K67" s="107"/>
      <c r="L67" s="107"/>
      <c r="M67" s="107"/>
      <c r="N67" s="107"/>
      <c r="O67" s="107"/>
      <c r="P67" s="107"/>
      <c r="Q67" s="107"/>
      <c r="R67" s="107"/>
      <c r="S67" s="107"/>
    </row>
    <row r="68" spans="1:19" s="106" customFormat="1" ht="15" customHeight="1">
      <c r="A68" s="110"/>
      <c r="B68" s="111"/>
      <c r="C68" s="182"/>
      <c r="D68" s="183"/>
      <c r="E68" s="184"/>
      <c r="F68" s="115"/>
      <c r="G68" s="107"/>
      <c r="H68" s="107"/>
      <c r="I68" s="107"/>
      <c r="J68" s="107"/>
      <c r="K68" s="107"/>
      <c r="L68" s="107"/>
      <c r="M68" s="107"/>
      <c r="N68" s="107"/>
      <c r="O68" s="107"/>
      <c r="P68" s="107"/>
      <c r="Q68" s="107"/>
      <c r="R68" s="107"/>
      <c r="S68" s="107"/>
    </row>
    <row r="69" spans="1:19" s="106" customFormat="1" ht="15" customHeight="1">
      <c r="A69" s="110"/>
      <c r="B69" s="111"/>
      <c r="C69" s="182"/>
      <c r="D69" s="183"/>
      <c r="E69" s="184"/>
      <c r="F69" s="115"/>
      <c r="G69" s="107"/>
      <c r="H69" s="107"/>
      <c r="I69" s="107"/>
      <c r="J69" s="107"/>
      <c r="K69" s="107"/>
      <c r="L69" s="107"/>
      <c r="M69" s="107"/>
      <c r="N69" s="107"/>
      <c r="O69" s="107"/>
      <c r="P69" s="107"/>
      <c r="Q69" s="107"/>
      <c r="R69" s="107"/>
      <c r="S69" s="107"/>
    </row>
    <row r="70" spans="1:19" s="106" customFormat="1" ht="15" customHeight="1">
      <c r="A70" s="110"/>
      <c r="B70" s="111"/>
      <c r="C70" s="182"/>
      <c r="D70" s="183"/>
      <c r="E70" s="184"/>
      <c r="F70" s="115"/>
      <c r="G70" s="107"/>
      <c r="H70" s="107"/>
      <c r="I70" s="107"/>
      <c r="J70" s="107"/>
      <c r="K70" s="107"/>
      <c r="L70" s="107"/>
      <c r="M70" s="107"/>
      <c r="N70" s="107"/>
      <c r="O70" s="107"/>
      <c r="P70" s="107"/>
      <c r="Q70" s="107"/>
      <c r="R70" s="107"/>
      <c r="S70" s="107"/>
    </row>
    <row r="71" spans="1:19" s="106" customFormat="1" ht="15" customHeight="1">
      <c r="A71" s="110"/>
      <c r="B71" s="111"/>
      <c r="C71" s="182"/>
      <c r="D71" s="183"/>
      <c r="E71" s="184"/>
      <c r="F71" s="115"/>
      <c r="G71" s="107"/>
      <c r="H71" s="107"/>
      <c r="I71" s="107"/>
      <c r="J71" s="107"/>
      <c r="K71" s="107"/>
      <c r="L71" s="107"/>
      <c r="M71" s="107"/>
      <c r="N71" s="107"/>
      <c r="O71" s="107"/>
      <c r="P71" s="107"/>
      <c r="Q71" s="107"/>
      <c r="R71" s="107"/>
      <c r="S71" s="107"/>
    </row>
    <row r="72" spans="1:19" s="106" customFormat="1" ht="15" customHeight="1">
      <c r="A72" s="110"/>
      <c r="B72" s="111"/>
      <c r="C72" s="182"/>
      <c r="D72" s="183"/>
      <c r="E72" s="184"/>
      <c r="F72" s="115"/>
      <c r="G72" s="107"/>
      <c r="H72" s="107"/>
      <c r="I72" s="107"/>
      <c r="J72" s="107"/>
      <c r="K72" s="107"/>
      <c r="L72" s="107"/>
      <c r="M72" s="107"/>
      <c r="N72" s="107"/>
      <c r="O72" s="107"/>
      <c r="P72" s="107"/>
      <c r="Q72" s="107"/>
      <c r="R72" s="107"/>
      <c r="S72" s="107"/>
    </row>
    <row r="73" spans="1:19" s="106" customFormat="1" ht="15" customHeight="1">
      <c r="A73" s="110"/>
      <c r="B73" s="111"/>
      <c r="C73" s="182"/>
      <c r="D73" s="183"/>
      <c r="E73" s="184"/>
      <c r="F73" s="115"/>
      <c r="G73" s="107"/>
      <c r="H73" s="107"/>
      <c r="I73" s="107"/>
      <c r="J73" s="107"/>
      <c r="K73" s="107"/>
      <c r="L73" s="107"/>
      <c r="M73" s="107"/>
      <c r="N73" s="107"/>
      <c r="O73" s="107"/>
      <c r="P73" s="107"/>
      <c r="Q73" s="107"/>
      <c r="R73" s="107"/>
      <c r="S73" s="107"/>
    </row>
    <row r="74" spans="1:19" s="106" customFormat="1" ht="15" customHeight="1">
      <c r="A74" s="110"/>
      <c r="B74" s="111"/>
      <c r="C74" s="182"/>
      <c r="D74" s="183"/>
      <c r="E74" s="184"/>
      <c r="F74" s="115"/>
      <c r="G74" s="107"/>
      <c r="H74" s="107"/>
      <c r="I74" s="107"/>
      <c r="J74" s="107"/>
      <c r="K74" s="107"/>
      <c r="L74" s="107"/>
      <c r="M74" s="107"/>
      <c r="N74" s="107"/>
      <c r="O74" s="107"/>
      <c r="P74" s="107"/>
      <c r="Q74" s="107"/>
      <c r="R74" s="107"/>
      <c r="S74" s="107"/>
    </row>
    <row r="75" spans="1:19" s="106" customFormat="1" ht="15" customHeight="1">
      <c r="A75" s="110"/>
      <c r="B75" s="111"/>
      <c r="C75" s="182"/>
      <c r="D75" s="183"/>
      <c r="E75" s="184"/>
      <c r="F75" s="115"/>
      <c r="G75" s="107"/>
      <c r="H75" s="107"/>
      <c r="I75" s="107"/>
      <c r="J75" s="107"/>
      <c r="K75" s="107"/>
      <c r="L75" s="107"/>
      <c r="M75" s="107"/>
      <c r="N75" s="107"/>
      <c r="O75" s="107"/>
      <c r="P75" s="107"/>
      <c r="Q75" s="107"/>
      <c r="R75" s="107"/>
      <c r="S75" s="107"/>
    </row>
    <row r="76" spans="1:19" s="106" customFormat="1" ht="15" customHeight="1">
      <c r="A76" s="110"/>
      <c r="B76" s="111"/>
      <c r="C76" s="182"/>
      <c r="D76" s="183"/>
      <c r="E76" s="184"/>
      <c r="F76" s="115"/>
      <c r="G76" s="107"/>
      <c r="H76" s="107"/>
      <c r="I76" s="107"/>
      <c r="J76" s="107"/>
      <c r="K76" s="107"/>
      <c r="L76" s="107"/>
      <c r="M76" s="107"/>
      <c r="N76" s="107"/>
      <c r="O76" s="107"/>
      <c r="P76" s="107"/>
      <c r="Q76" s="107"/>
      <c r="R76" s="107"/>
      <c r="S76" s="107"/>
    </row>
    <row r="77" spans="1:19" s="106" customFormat="1" ht="15" customHeight="1">
      <c r="A77" s="110"/>
      <c r="B77" s="111"/>
      <c r="C77" s="182"/>
      <c r="D77" s="183"/>
      <c r="E77" s="184"/>
      <c r="F77" s="115"/>
      <c r="G77" s="107"/>
      <c r="H77" s="107"/>
      <c r="I77" s="107"/>
      <c r="J77" s="107"/>
      <c r="K77" s="107"/>
      <c r="L77" s="107"/>
      <c r="M77" s="107"/>
      <c r="N77" s="107"/>
      <c r="O77" s="107"/>
      <c r="P77" s="107"/>
      <c r="Q77" s="107"/>
      <c r="R77" s="107"/>
      <c r="S77" s="107"/>
    </row>
    <row r="78" spans="1:19" s="106" customFormat="1" ht="15" customHeight="1">
      <c r="A78" s="110"/>
      <c r="B78" s="111"/>
      <c r="C78" s="182"/>
      <c r="D78" s="183"/>
      <c r="E78" s="184"/>
      <c r="F78" s="115"/>
      <c r="G78" s="107"/>
      <c r="H78" s="107"/>
      <c r="I78" s="107"/>
      <c r="J78" s="107"/>
      <c r="K78" s="107"/>
      <c r="L78" s="107"/>
      <c r="M78" s="107"/>
      <c r="N78" s="107"/>
      <c r="O78" s="107"/>
      <c r="P78" s="107"/>
      <c r="Q78" s="107"/>
      <c r="R78" s="107"/>
      <c r="S78" s="107"/>
    </row>
    <row r="79" spans="1:19" s="106" customFormat="1" ht="15" customHeight="1">
      <c r="A79" s="110"/>
      <c r="B79" s="111"/>
      <c r="C79" s="182"/>
      <c r="D79" s="183"/>
      <c r="E79" s="184"/>
      <c r="F79" s="115"/>
      <c r="G79" s="107"/>
      <c r="H79" s="107"/>
      <c r="I79" s="107"/>
      <c r="J79" s="107"/>
      <c r="K79" s="107"/>
      <c r="L79" s="107"/>
      <c r="M79" s="107"/>
      <c r="N79" s="107"/>
      <c r="O79" s="107"/>
      <c r="P79" s="107"/>
      <c r="Q79" s="107"/>
      <c r="R79" s="107"/>
      <c r="S79" s="107"/>
    </row>
    <row r="80" spans="1:19" s="106" customFormat="1" ht="15" customHeight="1">
      <c r="A80" s="110"/>
      <c r="B80" s="111"/>
      <c r="C80" s="182"/>
      <c r="D80" s="183"/>
      <c r="E80" s="184"/>
      <c r="F80" s="115"/>
      <c r="G80" s="107"/>
      <c r="H80" s="107"/>
      <c r="I80" s="107"/>
      <c r="J80" s="107"/>
      <c r="K80" s="107"/>
      <c r="L80" s="107"/>
      <c r="M80" s="107"/>
      <c r="N80" s="107"/>
      <c r="O80" s="107"/>
      <c r="P80" s="107"/>
      <c r="Q80" s="107"/>
      <c r="R80" s="107"/>
      <c r="S80" s="107"/>
    </row>
    <row r="81" spans="1:19" s="106" customFormat="1" ht="15" customHeight="1">
      <c r="A81" s="110"/>
      <c r="B81" s="111"/>
      <c r="C81" s="182"/>
      <c r="D81" s="183"/>
      <c r="E81" s="184"/>
      <c r="F81" s="115"/>
      <c r="G81" s="107"/>
      <c r="H81" s="107"/>
      <c r="I81" s="107"/>
      <c r="J81" s="107"/>
      <c r="K81" s="107"/>
      <c r="L81" s="107"/>
      <c r="M81" s="107"/>
      <c r="N81" s="107"/>
      <c r="O81" s="107"/>
      <c r="P81" s="107"/>
      <c r="Q81" s="107"/>
      <c r="R81" s="107"/>
      <c r="S81" s="107"/>
    </row>
    <row r="82" spans="1:19" s="106" customFormat="1" ht="15" customHeight="1">
      <c r="A82" s="110"/>
      <c r="B82" s="111"/>
      <c r="C82" s="182"/>
      <c r="D82" s="183"/>
      <c r="E82" s="184"/>
      <c r="F82" s="115"/>
      <c r="G82" s="107"/>
      <c r="H82" s="107"/>
      <c r="I82" s="107"/>
      <c r="J82" s="107"/>
      <c r="K82" s="107"/>
      <c r="L82" s="107"/>
      <c r="M82" s="107"/>
      <c r="N82" s="107"/>
      <c r="O82" s="107"/>
      <c r="P82" s="107"/>
      <c r="Q82" s="107"/>
      <c r="R82" s="107"/>
      <c r="S82" s="107"/>
    </row>
    <row r="83" spans="1:19" s="106" customFormat="1" ht="15" customHeight="1">
      <c r="A83" s="110"/>
      <c r="B83" s="111"/>
      <c r="C83" s="182"/>
      <c r="D83" s="183"/>
      <c r="E83" s="184"/>
      <c r="F83" s="115"/>
      <c r="G83" s="107"/>
      <c r="H83" s="107"/>
      <c r="I83" s="107"/>
      <c r="J83" s="107"/>
      <c r="K83" s="107"/>
      <c r="L83" s="107"/>
      <c r="M83" s="107"/>
      <c r="N83" s="107"/>
      <c r="O83" s="107"/>
      <c r="P83" s="107"/>
      <c r="Q83" s="107"/>
      <c r="R83" s="107"/>
      <c r="S83" s="107"/>
    </row>
    <row r="84" spans="1:19" s="106" customFormat="1" ht="15" customHeight="1">
      <c r="A84" s="110"/>
      <c r="B84" s="111"/>
      <c r="C84" s="182"/>
      <c r="D84" s="183"/>
      <c r="E84" s="184"/>
      <c r="F84" s="115"/>
      <c r="G84" s="107"/>
      <c r="H84" s="107"/>
      <c r="I84" s="107"/>
      <c r="J84" s="107"/>
      <c r="K84" s="107"/>
      <c r="L84" s="107"/>
      <c r="M84" s="107"/>
      <c r="N84" s="107"/>
      <c r="O84" s="107"/>
      <c r="P84" s="107"/>
      <c r="Q84" s="107"/>
      <c r="R84" s="107"/>
      <c r="S84" s="107"/>
    </row>
    <row r="85" spans="1:19" s="106" customFormat="1" ht="15" customHeight="1">
      <c r="A85" s="110"/>
      <c r="B85" s="111"/>
      <c r="C85" s="182"/>
      <c r="D85" s="183"/>
      <c r="E85" s="184"/>
      <c r="F85" s="115"/>
      <c r="G85" s="107"/>
      <c r="H85" s="107"/>
      <c r="I85" s="107"/>
      <c r="J85" s="107"/>
      <c r="K85" s="107"/>
      <c r="L85" s="107"/>
      <c r="M85" s="107"/>
      <c r="N85" s="107"/>
      <c r="O85" s="107"/>
      <c r="P85" s="107"/>
      <c r="Q85" s="107"/>
      <c r="R85" s="107"/>
      <c r="S85" s="107"/>
    </row>
    <row r="86" spans="1:19" s="106" customFormat="1" ht="15" customHeight="1">
      <c r="A86" s="110"/>
      <c r="B86" s="111"/>
      <c r="C86" s="182"/>
      <c r="D86" s="183"/>
      <c r="E86" s="184"/>
      <c r="F86" s="115"/>
      <c r="G86" s="107"/>
      <c r="H86" s="107"/>
      <c r="I86" s="107"/>
      <c r="J86" s="107"/>
      <c r="K86" s="107"/>
      <c r="L86" s="107"/>
      <c r="M86" s="107"/>
      <c r="N86" s="107"/>
      <c r="O86" s="107"/>
      <c r="P86" s="107"/>
      <c r="Q86" s="107"/>
      <c r="R86" s="107"/>
      <c r="S86" s="107"/>
    </row>
    <row r="87" spans="1:19" s="106" customFormat="1" ht="15" customHeight="1">
      <c r="A87" s="110"/>
      <c r="B87" s="111"/>
      <c r="C87" s="182"/>
      <c r="D87" s="183"/>
      <c r="E87" s="184"/>
      <c r="F87" s="115"/>
      <c r="G87" s="107"/>
      <c r="H87" s="107"/>
      <c r="I87" s="107"/>
      <c r="J87" s="107"/>
      <c r="K87" s="107"/>
      <c r="L87" s="107"/>
      <c r="M87" s="107"/>
      <c r="N87" s="107"/>
      <c r="O87" s="107"/>
      <c r="P87" s="107"/>
      <c r="Q87" s="107"/>
      <c r="R87" s="107"/>
      <c r="S87" s="107"/>
    </row>
    <row r="88" spans="1:19" s="106" customFormat="1" ht="15" customHeight="1">
      <c r="A88" s="110"/>
      <c r="B88" s="111"/>
      <c r="C88" s="182"/>
      <c r="D88" s="183"/>
      <c r="E88" s="184"/>
      <c r="F88" s="115"/>
      <c r="G88" s="107"/>
      <c r="H88" s="107"/>
      <c r="I88" s="107"/>
      <c r="J88" s="107"/>
      <c r="K88" s="107"/>
      <c r="L88" s="107"/>
      <c r="M88" s="107"/>
      <c r="N88" s="107"/>
      <c r="O88" s="107"/>
      <c r="P88" s="107"/>
      <c r="Q88" s="107"/>
      <c r="R88" s="107"/>
      <c r="S88" s="107"/>
    </row>
    <row r="89" spans="1:19" s="106" customFormat="1" ht="15" customHeight="1">
      <c r="A89" s="110"/>
      <c r="B89" s="111"/>
      <c r="C89" s="182"/>
      <c r="D89" s="183"/>
      <c r="E89" s="184"/>
      <c r="F89" s="115"/>
      <c r="G89" s="107"/>
      <c r="H89" s="107"/>
      <c r="I89" s="107"/>
      <c r="J89" s="107"/>
      <c r="K89" s="107"/>
      <c r="L89" s="107"/>
      <c r="M89" s="107"/>
      <c r="N89" s="107"/>
      <c r="O89" s="107"/>
      <c r="P89" s="107"/>
      <c r="Q89" s="107"/>
      <c r="R89" s="107"/>
      <c r="S89" s="107"/>
    </row>
    <row r="90" spans="1:19" s="106" customFormat="1" ht="15" customHeight="1">
      <c r="A90" s="110"/>
      <c r="B90" s="111"/>
      <c r="C90" s="182"/>
      <c r="D90" s="183"/>
      <c r="E90" s="184"/>
      <c r="F90" s="115"/>
      <c r="G90" s="107"/>
      <c r="H90" s="107"/>
      <c r="I90" s="107"/>
      <c r="J90" s="107"/>
      <c r="K90" s="107"/>
      <c r="L90" s="107"/>
      <c r="M90" s="107"/>
      <c r="N90" s="107"/>
      <c r="O90" s="107"/>
      <c r="P90" s="107"/>
      <c r="Q90" s="107"/>
      <c r="R90" s="107"/>
      <c r="S90" s="107"/>
    </row>
    <row r="91" spans="1:19" s="106" customFormat="1" ht="15" customHeight="1">
      <c r="A91" s="110"/>
      <c r="B91" s="111"/>
      <c r="C91" s="182"/>
      <c r="D91" s="183"/>
      <c r="E91" s="184"/>
      <c r="F91" s="115"/>
      <c r="G91" s="107"/>
      <c r="H91" s="107"/>
      <c r="I91" s="107"/>
      <c r="J91" s="107"/>
      <c r="K91" s="107"/>
      <c r="L91" s="107"/>
      <c r="M91" s="107"/>
      <c r="N91" s="107"/>
      <c r="O91" s="107"/>
      <c r="P91" s="107"/>
      <c r="Q91" s="107"/>
      <c r="R91" s="107"/>
      <c r="S91" s="107"/>
    </row>
    <row r="92" spans="1:19" s="106" customFormat="1" ht="15" customHeight="1">
      <c r="A92" s="110"/>
      <c r="B92" s="111"/>
      <c r="C92" s="182"/>
      <c r="D92" s="183"/>
      <c r="E92" s="184"/>
      <c r="F92" s="115"/>
      <c r="G92" s="107"/>
      <c r="H92" s="107"/>
      <c r="I92" s="107"/>
      <c r="J92" s="107"/>
      <c r="K92" s="107"/>
      <c r="L92" s="107"/>
      <c r="M92" s="107"/>
      <c r="N92" s="107"/>
      <c r="O92" s="107"/>
      <c r="P92" s="107"/>
      <c r="Q92" s="107"/>
      <c r="R92" s="107"/>
      <c r="S92" s="107"/>
    </row>
    <row r="93" spans="1:19" s="106" customFormat="1" ht="15" customHeight="1">
      <c r="A93" s="110"/>
      <c r="B93" s="111"/>
      <c r="C93" s="182"/>
      <c r="D93" s="183"/>
      <c r="E93" s="184"/>
      <c r="F93" s="115"/>
      <c r="G93" s="107"/>
      <c r="H93" s="107"/>
      <c r="I93" s="107"/>
      <c r="J93" s="107"/>
      <c r="K93" s="107"/>
      <c r="L93" s="107"/>
      <c r="M93" s="107"/>
      <c r="N93" s="107"/>
      <c r="O93" s="107"/>
      <c r="P93" s="107"/>
      <c r="Q93" s="107"/>
      <c r="R93" s="107"/>
      <c r="S93" s="107"/>
    </row>
    <row r="94" spans="1:19" s="106" customFormat="1" ht="15" customHeight="1">
      <c r="A94" s="110"/>
      <c r="B94" s="111"/>
      <c r="C94" s="182"/>
      <c r="D94" s="183"/>
      <c r="E94" s="184"/>
      <c r="F94" s="115"/>
      <c r="G94" s="107"/>
      <c r="H94" s="107"/>
      <c r="I94" s="107"/>
      <c r="J94" s="107"/>
      <c r="K94" s="107"/>
      <c r="L94" s="107"/>
      <c r="M94" s="107"/>
      <c r="N94" s="107"/>
      <c r="O94" s="107"/>
      <c r="P94" s="107"/>
      <c r="Q94" s="107"/>
      <c r="R94" s="107"/>
      <c r="S94" s="107"/>
    </row>
    <row r="95" spans="1:19" s="106" customFormat="1" ht="15" customHeight="1">
      <c r="A95" s="110"/>
      <c r="B95" s="111"/>
      <c r="C95" s="182"/>
      <c r="D95" s="183"/>
      <c r="E95" s="184"/>
      <c r="F95" s="115"/>
      <c r="G95" s="107"/>
      <c r="H95" s="107"/>
      <c r="I95" s="107"/>
      <c r="J95" s="107"/>
      <c r="K95" s="107"/>
      <c r="L95" s="107"/>
      <c r="M95" s="107"/>
      <c r="N95" s="107"/>
      <c r="O95" s="107"/>
      <c r="P95" s="107"/>
      <c r="Q95" s="107"/>
      <c r="R95" s="107"/>
      <c r="S95" s="107"/>
    </row>
    <row r="96" spans="1:19" s="106" customFormat="1" ht="15" customHeight="1">
      <c r="A96" s="110"/>
      <c r="B96" s="111"/>
      <c r="C96" s="182"/>
      <c r="D96" s="183"/>
      <c r="E96" s="184"/>
      <c r="F96" s="115"/>
      <c r="G96" s="107"/>
      <c r="H96" s="107"/>
      <c r="I96" s="107"/>
      <c r="J96" s="107"/>
      <c r="K96" s="107"/>
      <c r="L96" s="107"/>
      <c r="M96" s="107"/>
      <c r="N96" s="107"/>
      <c r="O96" s="107"/>
      <c r="P96" s="107"/>
      <c r="Q96" s="107"/>
      <c r="R96" s="107"/>
      <c r="S96" s="107"/>
    </row>
    <row r="97" spans="1:19" s="106" customFormat="1" ht="15" customHeight="1">
      <c r="A97" s="110"/>
      <c r="B97" s="111"/>
      <c r="C97" s="182"/>
      <c r="D97" s="183"/>
      <c r="E97" s="184"/>
      <c r="F97" s="115"/>
      <c r="G97" s="107"/>
      <c r="H97" s="107"/>
      <c r="I97" s="107"/>
      <c r="J97" s="107"/>
      <c r="K97" s="107"/>
      <c r="L97" s="107"/>
      <c r="M97" s="107"/>
      <c r="N97" s="107"/>
      <c r="O97" s="107"/>
      <c r="P97" s="107"/>
      <c r="Q97" s="107"/>
      <c r="R97" s="107"/>
      <c r="S97" s="107"/>
    </row>
    <row r="98" spans="1:19" s="106" customFormat="1" ht="15" customHeight="1">
      <c r="A98" s="110"/>
      <c r="B98" s="111"/>
      <c r="C98" s="182"/>
      <c r="D98" s="183"/>
      <c r="E98" s="184"/>
      <c r="F98" s="115"/>
      <c r="G98" s="107"/>
      <c r="H98" s="107"/>
      <c r="I98" s="107"/>
      <c r="J98" s="107"/>
      <c r="K98" s="107"/>
      <c r="L98" s="107"/>
      <c r="M98" s="107"/>
      <c r="N98" s="107"/>
      <c r="O98" s="107"/>
      <c r="P98" s="107"/>
      <c r="Q98" s="107"/>
      <c r="R98" s="107"/>
      <c r="S98" s="107"/>
    </row>
    <row r="99" spans="1:19" s="106" customFormat="1" ht="15" customHeight="1">
      <c r="A99" s="110"/>
      <c r="B99" s="111"/>
      <c r="C99" s="182"/>
      <c r="D99" s="183"/>
      <c r="E99" s="184"/>
      <c r="F99" s="115"/>
      <c r="G99" s="107"/>
      <c r="H99" s="107"/>
      <c r="I99" s="107"/>
      <c r="J99" s="107"/>
      <c r="K99" s="107"/>
      <c r="L99" s="107"/>
      <c r="M99" s="107"/>
      <c r="N99" s="107"/>
      <c r="O99" s="107"/>
      <c r="P99" s="107"/>
      <c r="Q99" s="107"/>
      <c r="R99" s="107"/>
      <c r="S99" s="107"/>
    </row>
    <row r="100" spans="1:19" s="106" customFormat="1" ht="15" customHeight="1">
      <c r="A100" s="110"/>
      <c r="B100" s="111"/>
      <c r="C100" s="182"/>
      <c r="D100" s="183"/>
      <c r="E100" s="184"/>
      <c r="F100" s="115"/>
      <c r="G100" s="107"/>
      <c r="H100" s="107"/>
      <c r="I100" s="107"/>
      <c r="J100" s="107"/>
      <c r="K100" s="107"/>
      <c r="L100" s="107"/>
      <c r="M100" s="107"/>
      <c r="N100" s="107"/>
      <c r="O100" s="107"/>
      <c r="P100" s="107"/>
      <c r="Q100" s="107"/>
      <c r="R100" s="107"/>
      <c r="S100" s="107"/>
    </row>
    <row r="101" spans="1:19" s="106" customFormat="1" ht="15" customHeight="1">
      <c r="A101" s="110"/>
      <c r="B101" s="111"/>
      <c r="C101" s="182"/>
      <c r="D101" s="183"/>
      <c r="E101" s="184"/>
      <c r="F101" s="115"/>
      <c r="G101" s="107"/>
      <c r="H101" s="107"/>
      <c r="I101" s="107"/>
      <c r="J101" s="107"/>
      <c r="K101" s="107"/>
      <c r="L101" s="107"/>
      <c r="M101" s="107"/>
      <c r="N101" s="107"/>
      <c r="O101" s="107"/>
      <c r="P101" s="107"/>
      <c r="Q101" s="107"/>
      <c r="R101" s="107"/>
      <c r="S101" s="107"/>
    </row>
    <row r="102" spans="1:19" s="106" customFormat="1" ht="15" customHeight="1">
      <c r="A102" s="110"/>
      <c r="B102" s="111"/>
      <c r="C102" s="182"/>
      <c r="D102" s="183"/>
      <c r="E102" s="184"/>
      <c r="F102" s="115"/>
      <c r="G102" s="107"/>
      <c r="H102" s="107"/>
      <c r="I102" s="107"/>
      <c r="J102" s="107"/>
      <c r="K102" s="107"/>
      <c r="L102" s="107"/>
      <c r="M102" s="107"/>
      <c r="N102" s="107"/>
      <c r="O102" s="107"/>
      <c r="P102" s="107"/>
      <c r="Q102" s="107"/>
      <c r="R102" s="107"/>
      <c r="S102" s="107"/>
    </row>
    <row r="103" spans="1:19" s="106" customFormat="1" ht="15" customHeight="1">
      <c r="A103" s="110"/>
      <c r="B103" s="111"/>
      <c r="C103" s="182"/>
      <c r="D103" s="183"/>
      <c r="E103" s="184"/>
      <c r="F103" s="115"/>
      <c r="G103" s="107"/>
      <c r="H103" s="107"/>
      <c r="I103" s="107"/>
      <c r="J103" s="107"/>
      <c r="K103" s="107"/>
      <c r="L103" s="107"/>
      <c r="M103" s="107"/>
      <c r="N103" s="107"/>
      <c r="O103" s="107"/>
      <c r="P103" s="107"/>
      <c r="Q103" s="107"/>
      <c r="R103" s="107"/>
      <c r="S103" s="107"/>
    </row>
    <row r="104" spans="1:19" s="106" customFormat="1" ht="15" customHeight="1">
      <c r="A104" s="110"/>
      <c r="B104" s="111"/>
      <c r="C104" s="182"/>
      <c r="D104" s="183"/>
      <c r="E104" s="184"/>
      <c r="F104" s="115"/>
      <c r="G104" s="107"/>
      <c r="H104" s="107"/>
      <c r="I104" s="107"/>
      <c r="J104" s="107"/>
      <c r="K104" s="107"/>
      <c r="L104" s="107"/>
      <c r="M104" s="107"/>
      <c r="N104" s="107"/>
      <c r="O104" s="107"/>
      <c r="P104" s="107"/>
      <c r="Q104" s="107"/>
      <c r="R104" s="107"/>
      <c r="S104" s="107"/>
    </row>
    <row r="105" spans="1:19" s="106" customFormat="1" ht="15" customHeight="1">
      <c r="A105" s="110"/>
      <c r="B105" s="111"/>
      <c r="C105" s="182"/>
      <c r="D105" s="183"/>
      <c r="E105" s="184"/>
      <c r="F105" s="115"/>
      <c r="G105" s="107"/>
      <c r="H105" s="107"/>
      <c r="I105" s="107"/>
      <c r="J105" s="107"/>
      <c r="K105" s="107"/>
      <c r="L105" s="107"/>
      <c r="M105" s="107"/>
      <c r="N105" s="107"/>
      <c r="O105" s="107"/>
      <c r="P105" s="107"/>
      <c r="Q105" s="107"/>
      <c r="R105" s="107"/>
      <c r="S105" s="107"/>
    </row>
    <row r="106" spans="1:19" s="106" customFormat="1" ht="15" customHeight="1">
      <c r="A106" s="110"/>
      <c r="B106" s="111"/>
      <c r="C106" s="182"/>
      <c r="D106" s="183"/>
      <c r="E106" s="184"/>
      <c r="F106" s="115"/>
      <c r="G106" s="107"/>
      <c r="H106" s="107"/>
      <c r="I106" s="107"/>
      <c r="J106" s="107"/>
      <c r="K106" s="107"/>
      <c r="L106" s="107"/>
      <c r="M106" s="107"/>
      <c r="N106" s="107"/>
      <c r="O106" s="107"/>
      <c r="P106" s="107"/>
      <c r="Q106" s="107"/>
      <c r="R106" s="107"/>
      <c r="S106" s="107"/>
    </row>
    <row r="107" spans="1:19" s="106" customFormat="1" ht="15" customHeight="1">
      <c r="A107" s="110"/>
      <c r="B107" s="111"/>
      <c r="C107" s="182"/>
      <c r="D107" s="183"/>
      <c r="E107" s="184"/>
      <c r="F107" s="115"/>
      <c r="G107" s="107"/>
      <c r="H107" s="107"/>
      <c r="I107" s="107"/>
      <c r="J107" s="107"/>
      <c r="K107" s="107"/>
      <c r="L107" s="107"/>
      <c r="M107" s="107"/>
      <c r="N107" s="107"/>
      <c r="O107" s="107"/>
      <c r="P107" s="107"/>
      <c r="Q107" s="107"/>
      <c r="R107" s="107"/>
      <c r="S107" s="107"/>
    </row>
    <row r="108" spans="1:19" s="106" customFormat="1" ht="15" customHeight="1">
      <c r="A108" s="110"/>
      <c r="B108" s="111"/>
      <c r="C108" s="182"/>
      <c r="D108" s="183"/>
      <c r="E108" s="184"/>
      <c r="F108" s="115"/>
      <c r="G108" s="107"/>
      <c r="H108" s="107"/>
      <c r="I108" s="107"/>
      <c r="J108" s="107"/>
      <c r="K108" s="107"/>
      <c r="L108" s="107"/>
      <c r="M108" s="107"/>
      <c r="N108" s="107"/>
      <c r="O108" s="107"/>
      <c r="P108" s="107"/>
      <c r="Q108" s="107"/>
      <c r="R108" s="107"/>
      <c r="S108" s="107"/>
    </row>
    <row r="109" spans="1:19" s="106" customFormat="1" ht="15" customHeight="1">
      <c r="A109" s="110"/>
      <c r="B109" s="111"/>
      <c r="C109" s="182"/>
      <c r="D109" s="183"/>
      <c r="E109" s="184"/>
      <c r="F109" s="115"/>
      <c r="G109" s="107"/>
      <c r="H109" s="107"/>
      <c r="I109" s="107"/>
      <c r="J109" s="107"/>
      <c r="K109" s="107"/>
      <c r="L109" s="107"/>
      <c r="M109" s="107"/>
      <c r="N109" s="107"/>
      <c r="O109" s="107"/>
      <c r="P109" s="107"/>
      <c r="Q109" s="107"/>
      <c r="R109" s="107"/>
      <c r="S109" s="107"/>
    </row>
    <row r="110" spans="1:19" s="106" customFormat="1" ht="15" customHeight="1">
      <c r="A110" s="110"/>
      <c r="B110" s="111"/>
      <c r="C110" s="182"/>
      <c r="D110" s="183"/>
      <c r="E110" s="184"/>
      <c r="F110" s="115"/>
      <c r="G110" s="107"/>
      <c r="H110" s="107"/>
      <c r="I110" s="107"/>
      <c r="J110" s="107"/>
      <c r="K110" s="107"/>
      <c r="L110" s="107"/>
      <c r="M110" s="107"/>
      <c r="N110" s="107"/>
      <c r="O110" s="107"/>
      <c r="P110" s="107"/>
      <c r="Q110" s="107"/>
      <c r="R110" s="107"/>
      <c r="S110" s="107"/>
    </row>
    <row r="111" spans="1:19" s="106" customFormat="1" ht="15" customHeight="1">
      <c r="A111" s="110"/>
      <c r="B111" s="111"/>
      <c r="C111" s="182"/>
      <c r="D111" s="183"/>
      <c r="E111" s="184"/>
      <c r="F111" s="115"/>
      <c r="G111" s="107"/>
      <c r="H111" s="107"/>
      <c r="I111" s="107"/>
      <c r="J111" s="107"/>
      <c r="K111" s="107"/>
      <c r="L111" s="107"/>
      <c r="M111" s="107"/>
      <c r="N111" s="107"/>
      <c r="O111" s="107"/>
      <c r="P111" s="107"/>
      <c r="Q111" s="107"/>
      <c r="R111" s="107"/>
      <c r="S111" s="107"/>
    </row>
    <row r="112" spans="1:19" s="106" customFormat="1" ht="15" customHeight="1">
      <c r="A112" s="110"/>
      <c r="B112" s="111"/>
      <c r="C112" s="182"/>
      <c r="D112" s="183"/>
      <c r="E112" s="184"/>
      <c r="F112" s="115"/>
      <c r="G112" s="107"/>
      <c r="H112" s="107"/>
      <c r="I112" s="107"/>
      <c r="J112" s="107"/>
      <c r="K112" s="107"/>
      <c r="L112" s="107"/>
      <c r="M112" s="107"/>
      <c r="N112" s="107"/>
      <c r="O112" s="107"/>
      <c r="P112" s="107"/>
      <c r="Q112" s="107"/>
      <c r="R112" s="107"/>
      <c r="S112" s="107"/>
    </row>
    <row r="113" spans="1:19" s="106" customFormat="1" ht="15" customHeight="1">
      <c r="A113" s="110"/>
      <c r="B113" s="111"/>
      <c r="C113" s="182"/>
      <c r="D113" s="183"/>
      <c r="E113" s="184"/>
      <c r="F113" s="115"/>
      <c r="G113" s="107"/>
      <c r="H113" s="107"/>
      <c r="I113" s="107"/>
      <c r="J113" s="107"/>
      <c r="K113" s="107"/>
      <c r="L113" s="107"/>
      <c r="M113" s="107"/>
      <c r="N113" s="107"/>
      <c r="O113" s="107"/>
      <c r="P113" s="107"/>
      <c r="Q113" s="107"/>
      <c r="R113" s="107"/>
      <c r="S113" s="107"/>
    </row>
    <row r="114" spans="1:19" s="106" customFormat="1" ht="15" customHeight="1">
      <c r="A114" s="110"/>
      <c r="B114" s="111"/>
      <c r="C114" s="182"/>
      <c r="D114" s="183"/>
      <c r="E114" s="184"/>
      <c r="F114" s="115"/>
      <c r="G114" s="107"/>
      <c r="H114" s="107"/>
      <c r="I114" s="107"/>
      <c r="J114" s="107"/>
      <c r="K114" s="107"/>
      <c r="L114" s="107"/>
      <c r="M114" s="107"/>
      <c r="N114" s="107"/>
      <c r="O114" s="107"/>
      <c r="P114" s="107"/>
      <c r="Q114" s="107"/>
      <c r="R114" s="107"/>
      <c r="S114" s="107"/>
    </row>
    <row r="115" spans="1:19" s="106" customFormat="1" ht="15" customHeight="1">
      <c r="A115" s="110"/>
      <c r="B115" s="111"/>
      <c r="C115" s="182"/>
      <c r="D115" s="183"/>
      <c r="E115" s="184"/>
      <c r="F115" s="115"/>
      <c r="G115" s="107"/>
      <c r="H115" s="107"/>
      <c r="I115" s="107"/>
      <c r="J115" s="107"/>
      <c r="K115" s="107"/>
      <c r="L115" s="107"/>
      <c r="M115" s="107"/>
      <c r="N115" s="107"/>
      <c r="O115" s="107"/>
      <c r="P115" s="107"/>
      <c r="Q115" s="107"/>
      <c r="R115" s="107"/>
      <c r="S115" s="107"/>
    </row>
    <row r="116" spans="1:19" s="106" customFormat="1" ht="15" customHeight="1">
      <c r="A116" s="110"/>
      <c r="B116" s="111"/>
      <c r="C116" s="182"/>
      <c r="D116" s="183"/>
      <c r="E116" s="184"/>
      <c r="F116" s="115"/>
      <c r="G116" s="107"/>
      <c r="H116" s="107"/>
      <c r="I116" s="107"/>
      <c r="J116" s="107"/>
      <c r="K116" s="107"/>
      <c r="L116" s="107"/>
      <c r="M116" s="107"/>
      <c r="N116" s="107"/>
      <c r="O116" s="107"/>
      <c r="P116" s="107"/>
      <c r="Q116" s="107"/>
      <c r="R116" s="107"/>
      <c r="S116" s="107"/>
    </row>
    <row r="117" spans="1:19" s="106" customFormat="1" ht="15" customHeight="1">
      <c r="A117" s="110"/>
      <c r="B117" s="111"/>
      <c r="C117" s="182"/>
      <c r="D117" s="183"/>
      <c r="E117" s="184"/>
      <c r="F117" s="115"/>
      <c r="G117" s="107"/>
      <c r="H117" s="107"/>
      <c r="I117" s="107"/>
      <c r="J117" s="107"/>
      <c r="K117" s="107"/>
      <c r="L117" s="107"/>
      <c r="M117" s="107"/>
      <c r="N117" s="107"/>
      <c r="O117" s="107"/>
      <c r="P117" s="107"/>
      <c r="Q117" s="107"/>
      <c r="R117" s="107"/>
      <c r="S117" s="107"/>
    </row>
    <row r="118" spans="1:19" s="106" customFormat="1" ht="15" customHeight="1">
      <c r="A118" s="110"/>
      <c r="B118" s="111"/>
      <c r="C118" s="182"/>
      <c r="D118" s="183"/>
      <c r="E118" s="184"/>
      <c r="F118" s="115"/>
      <c r="G118" s="107"/>
      <c r="H118" s="107"/>
      <c r="I118" s="107"/>
      <c r="J118" s="107"/>
      <c r="K118" s="107"/>
      <c r="L118" s="107"/>
      <c r="M118" s="107"/>
      <c r="N118" s="107"/>
      <c r="O118" s="107"/>
      <c r="P118" s="107"/>
      <c r="Q118" s="107"/>
      <c r="R118" s="107"/>
      <c r="S118" s="107"/>
    </row>
    <row r="119" spans="1:19" s="106" customFormat="1" ht="15" customHeight="1">
      <c r="A119" s="110"/>
      <c r="B119" s="111"/>
      <c r="C119" s="182"/>
      <c r="D119" s="183"/>
      <c r="E119" s="184"/>
      <c r="F119" s="115"/>
      <c r="G119" s="107"/>
      <c r="H119" s="107"/>
      <c r="I119" s="107"/>
      <c r="J119" s="107"/>
      <c r="K119" s="107"/>
      <c r="L119" s="107"/>
      <c r="M119" s="107"/>
      <c r="N119" s="107"/>
      <c r="O119" s="107"/>
      <c r="P119" s="107"/>
      <c r="Q119" s="107"/>
      <c r="R119" s="107"/>
      <c r="S119" s="107"/>
    </row>
    <row r="120" spans="1:19" s="106" customFormat="1" ht="15" customHeight="1">
      <c r="A120" s="110"/>
      <c r="B120" s="111"/>
      <c r="C120" s="182"/>
      <c r="D120" s="183"/>
      <c r="E120" s="184"/>
      <c r="F120" s="115"/>
      <c r="G120" s="107"/>
      <c r="H120" s="107"/>
      <c r="I120" s="107"/>
      <c r="J120" s="107"/>
      <c r="K120" s="107"/>
      <c r="L120" s="107"/>
      <c r="M120" s="107"/>
      <c r="N120" s="107"/>
      <c r="O120" s="107"/>
      <c r="P120" s="107"/>
      <c r="Q120" s="107"/>
      <c r="R120" s="107"/>
      <c r="S120" s="107"/>
    </row>
    <row r="121" spans="1:19" s="106" customFormat="1" ht="15" customHeight="1">
      <c r="A121" s="110"/>
      <c r="B121" s="111"/>
      <c r="C121" s="182"/>
      <c r="D121" s="183"/>
      <c r="E121" s="184"/>
      <c r="F121" s="115"/>
      <c r="G121" s="107"/>
      <c r="H121" s="107"/>
      <c r="I121" s="107"/>
      <c r="J121" s="107"/>
      <c r="K121" s="107"/>
      <c r="L121" s="107"/>
      <c r="M121" s="107"/>
      <c r="N121" s="107"/>
      <c r="O121" s="107"/>
      <c r="P121" s="107"/>
      <c r="Q121" s="107"/>
      <c r="R121" s="107"/>
      <c r="S121" s="107"/>
    </row>
    <row r="122" spans="1:19" s="106" customFormat="1" ht="15" customHeight="1">
      <c r="A122" s="110"/>
      <c r="B122" s="111"/>
      <c r="C122" s="182"/>
      <c r="D122" s="183"/>
      <c r="E122" s="184"/>
      <c r="F122" s="115"/>
      <c r="G122" s="107"/>
      <c r="H122" s="107"/>
      <c r="I122" s="107"/>
      <c r="J122" s="107"/>
      <c r="K122" s="107"/>
      <c r="L122" s="107"/>
      <c r="M122" s="107"/>
      <c r="N122" s="107"/>
      <c r="O122" s="107"/>
      <c r="P122" s="107"/>
      <c r="Q122" s="107"/>
      <c r="R122" s="107"/>
      <c r="S122" s="107"/>
    </row>
    <row r="123" spans="1:19" s="106" customFormat="1" ht="15" customHeight="1">
      <c r="A123" s="110"/>
      <c r="B123" s="111"/>
      <c r="C123" s="182"/>
      <c r="D123" s="183"/>
      <c r="E123" s="184"/>
      <c r="F123" s="115"/>
      <c r="G123" s="107"/>
      <c r="H123" s="107"/>
      <c r="I123" s="107"/>
      <c r="J123" s="107"/>
      <c r="K123" s="107"/>
      <c r="L123" s="107"/>
      <c r="M123" s="107"/>
      <c r="N123" s="107"/>
      <c r="O123" s="107"/>
      <c r="P123" s="107"/>
      <c r="Q123" s="107"/>
      <c r="R123" s="107"/>
      <c r="S123" s="107"/>
    </row>
    <row r="124" spans="1:19" s="106" customFormat="1" ht="15" customHeight="1">
      <c r="A124" s="110"/>
      <c r="B124" s="111"/>
      <c r="C124" s="182"/>
      <c r="D124" s="183"/>
      <c r="E124" s="184"/>
      <c r="F124" s="115"/>
      <c r="G124" s="107"/>
      <c r="H124" s="107"/>
      <c r="I124" s="107"/>
      <c r="J124" s="107"/>
      <c r="K124" s="107"/>
      <c r="L124" s="107"/>
      <c r="M124" s="107"/>
      <c r="N124" s="107"/>
      <c r="O124" s="107"/>
      <c r="P124" s="107"/>
      <c r="Q124" s="107"/>
      <c r="R124" s="107"/>
      <c r="S124" s="107"/>
    </row>
    <row r="125" spans="1:19" s="106" customFormat="1" ht="15" customHeight="1">
      <c r="A125" s="110"/>
      <c r="B125" s="111"/>
      <c r="C125" s="182"/>
      <c r="D125" s="183"/>
      <c r="E125" s="184"/>
      <c r="F125" s="115"/>
      <c r="G125" s="107"/>
      <c r="H125" s="107"/>
      <c r="I125" s="107"/>
      <c r="J125" s="107"/>
      <c r="K125" s="107"/>
      <c r="L125" s="107"/>
      <c r="M125" s="107"/>
      <c r="N125" s="107"/>
      <c r="O125" s="107"/>
      <c r="P125" s="107"/>
      <c r="Q125" s="107"/>
      <c r="R125" s="107"/>
      <c r="S125" s="107"/>
    </row>
    <row r="126" spans="1:19" s="106" customFormat="1" ht="15" customHeight="1">
      <c r="A126" s="110"/>
      <c r="B126" s="111"/>
      <c r="C126" s="182"/>
      <c r="D126" s="183"/>
      <c r="E126" s="184"/>
      <c r="F126" s="115"/>
      <c r="G126" s="107"/>
      <c r="H126" s="107"/>
      <c r="I126" s="107"/>
      <c r="J126" s="107"/>
      <c r="K126" s="107"/>
      <c r="L126" s="107"/>
      <c r="M126" s="107"/>
      <c r="N126" s="107"/>
      <c r="O126" s="107"/>
      <c r="P126" s="107"/>
      <c r="Q126" s="107"/>
      <c r="R126" s="107"/>
      <c r="S126" s="107"/>
    </row>
    <row r="127" spans="1:19" s="106" customFormat="1" ht="15" customHeight="1">
      <c r="A127" s="110"/>
      <c r="B127" s="111"/>
      <c r="C127" s="182"/>
      <c r="D127" s="183"/>
      <c r="E127" s="184"/>
      <c r="F127" s="115"/>
      <c r="G127" s="107"/>
      <c r="H127" s="107"/>
      <c r="I127" s="107"/>
      <c r="J127" s="107"/>
      <c r="K127" s="107"/>
      <c r="L127" s="107"/>
      <c r="M127" s="107"/>
      <c r="N127" s="107"/>
      <c r="O127" s="107"/>
      <c r="P127" s="107"/>
      <c r="Q127" s="107"/>
      <c r="R127" s="107"/>
      <c r="S127" s="107"/>
    </row>
    <row r="128" spans="1:19" s="106" customFormat="1" ht="15" customHeight="1">
      <c r="A128" s="110"/>
      <c r="B128" s="111"/>
      <c r="C128" s="182"/>
      <c r="D128" s="183"/>
      <c r="E128" s="184"/>
      <c r="F128" s="115"/>
      <c r="G128" s="107"/>
      <c r="H128" s="107"/>
      <c r="I128" s="107"/>
      <c r="J128" s="107"/>
      <c r="K128" s="107"/>
      <c r="L128" s="107"/>
      <c r="M128" s="107"/>
      <c r="N128" s="107"/>
      <c r="O128" s="107"/>
      <c r="P128" s="107"/>
      <c r="Q128" s="107"/>
      <c r="R128" s="107"/>
      <c r="S128" s="107"/>
    </row>
    <row r="129" spans="1:19" s="106" customFormat="1" ht="15" customHeight="1">
      <c r="A129" s="110"/>
      <c r="B129" s="111"/>
      <c r="C129" s="182"/>
      <c r="D129" s="183"/>
      <c r="E129" s="184"/>
      <c r="F129" s="115"/>
      <c r="G129" s="107"/>
      <c r="H129" s="107"/>
      <c r="I129" s="107"/>
      <c r="J129" s="107"/>
      <c r="K129" s="107"/>
      <c r="L129" s="107"/>
      <c r="M129" s="107"/>
      <c r="N129" s="107"/>
      <c r="O129" s="107"/>
      <c r="P129" s="107"/>
      <c r="Q129" s="107"/>
      <c r="R129" s="107"/>
      <c r="S129" s="107"/>
    </row>
    <row r="130" spans="1:19" s="106" customFormat="1" ht="15" customHeight="1">
      <c r="A130" s="110"/>
      <c r="B130" s="111"/>
      <c r="C130" s="182"/>
      <c r="D130" s="183"/>
      <c r="E130" s="184"/>
      <c r="F130" s="115"/>
      <c r="G130" s="107"/>
      <c r="H130" s="107"/>
      <c r="I130" s="107"/>
      <c r="J130" s="107"/>
      <c r="K130" s="107"/>
      <c r="L130" s="107"/>
      <c r="M130" s="107"/>
      <c r="N130" s="107"/>
      <c r="O130" s="107"/>
      <c r="P130" s="107"/>
      <c r="Q130" s="107"/>
      <c r="R130" s="107"/>
      <c r="S130" s="107"/>
    </row>
    <row r="131" spans="1:19" s="106" customFormat="1" ht="15" customHeight="1">
      <c r="A131" s="110"/>
      <c r="B131" s="111"/>
      <c r="C131" s="182"/>
      <c r="D131" s="183"/>
      <c r="E131" s="184"/>
      <c r="F131" s="115"/>
      <c r="G131" s="107"/>
      <c r="H131" s="107"/>
      <c r="I131" s="107"/>
      <c r="J131" s="107"/>
      <c r="K131" s="107"/>
      <c r="L131" s="107"/>
      <c r="M131" s="107"/>
      <c r="N131" s="107"/>
      <c r="O131" s="107"/>
      <c r="P131" s="107"/>
      <c r="Q131" s="107"/>
      <c r="R131" s="107"/>
      <c r="S131" s="107"/>
    </row>
    <row r="132" spans="1:19" s="106" customFormat="1" ht="15" customHeight="1">
      <c r="A132" s="110"/>
      <c r="B132" s="111"/>
      <c r="C132" s="182"/>
      <c r="D132" s="183"/>
      <c r="E132" s="184"/>
      <c r="F132" s="115"/>
      <c r="G132" s="107"/>
      <c r="H132" s="107"/>
      <c r="I132" s="107"/>
      <c r="J132" s="107"/>
      <c r="K132" s="107"/>
      <c r="L132" s="107"/>
      <c r="M132" s="107"/>
      <c r="N132" s="107"/>
      <c r="O132" s="107"/>
      <c r="P132" s="107"/>
      <c r="Q132" s="107"/>
      <c r="R132" s="107"/>
      <c r="S132" s="107"/>
    </row>
    <row r="133" spans="1:19" s="106" customFormat="1" ht="15" customHeight="1">
      <c r="A133" s="110"/>
      <c r="B133" s="111"/>
      <c r="C133" s="182"/>
      <c r="D133" s="183"/>
      <c r="E133" s="184"/>
      <c r="F133" s="115"/>
      <c r="G133" s="107"/>
      <c r="H133" s="107"/>
      <c r="I133" s="107"/>
      <c r="J133" s="107"/>
      <c r="K133" s="107"/>
      <c r="L133" s="107"/>
      <c r="M133" s="107"/>
      <c r="N133" s="107"/>
      <c r="O133" s="107"/>
      <c r="P133" s="107"/>
      <c r="Q133" s="107"/>
      <c r="R133" s="107"/>
      <c r="S133" s="107"/>
    </row>
    <row r="134" spans="1:19" s="106" customFormat="1" ht="15" customHeight="1">
      <c r="A134" s="110"/>
      <c r="B134" s="111"/>
      <c r="C134" s="182"/>
      <c r="D134" s="183"/>
      <c r="E134" s="184"/>
      <c r="F134" s="115"/>
      <c r="G134" s="107"/>
      <c r="H134" s="107"/>
      <c r="I134" s="107"/>
      <c r="J134" s="107"/>
      <c r="K134" s="107"/>
      <c r="L134" s="107"/>
      <c r="M134" s="107"/>
      <c r="N134" s="107"/>
      <c r="O134" s="107"/>
      <c r="P134" s="107"/>
      <c r="Q134" s="107"/>
      <c r="R134" s="107"/>
      <c r="S134" s="107"/>
    </row>
    <row r="135" spans="1:19" s="106" customFormat="1" ht="15" customHeight="1">
      <c r="A135" s="110"/>
      <c r="B135" s="111"/>
      <c r="C135" s="182"/>
      <c r="D135" s="183"/>
      <c r="E135" s="184"/>
      <c r="F135" s="115"/>
      <c r="G135" s="107"/>
      <c r="H135" s="107"/>
      <c r="I135" s="107"/>
      <c r="J135" s="107"/>
      <c r="K135" s="107"/>
      <c r="L135" s="107"/>
      <c r="M135" s="107"/>
      <c r="N135" s="107"/>
      <c r="O135" s="107"/>
      <c r="P135" s="107"/>
      <c r="Q135" s="107"/>
      <c r="R135" s="107"/>
      <c r="S135" s="107"/>
    </row>
    <row r="136" spans="1:19" s="106" customFormat="1" ht="15" customHeight="1">
      <c r="A136" s="110"/>
      <c r="B136" s="111"/>
      <c r="C136" s="182"/>
      <c r="D136" s="183"/>
      <c r="E136" s="184"/>
      <c r="F136" s="115"/>
      <c r="G136" s="107"/>
      <c r="H136" s="107"/>
      <c r="I136" s="107"/>
      <c r="J136" s="107"/>
      <c r="K136" s="107"/>
      <c r="L136" s="107"/>
      <c r="M136" s="107"/>
      <c r="N136" s="107"/>
      <c r="O136" s="107"/>
      <c r="P136" s="107"/>
      <c r="Q136" s="107"/>
      <c r="R136" s="107"/>
      <c r="S136" s="107"/>
    </row>
    <row r="137" spans="1:19" s="106" customFormat="1" ht="15" customHeight="1">
      <c r="A137" s="110"/>
      <c r="B137" s="111"/>
      <c r="C137" s="182"/>
      <c r="D137" s="183"/>
      <c r="E137" s="184"/>
      <c r="F137" s="115"/>
      <c r="G137" s="107"/>
      <c r="H137" s="107"/>
      <c r="I137" s="107"/>
      <c r="J137" s="107"/>
      <c r="K137" s="107"/>
      <c r="L137" s="107"/>
      <c r="M137" s="107"/>
      <c r="N137" s="107"/>
      <c r="O137" s="107"/>
      <c r="P137" s="107"/>
      <c r="Q137" s="107"/>
      <c r="R137" s="107"/>
      <c r="S137" s="107"/>
    </row>
    <row r="138" spans="1:19" s="106" customFormat="1" ht="15" customHeight="1">
      <c r="A138" s="110"/>
      <c r="B138" s="111"/>
      <c r="C138" s="182"/>
      <c r="D138" s="183"/>
      <c r="E138" s="184"/>
      <c r="F138" s="115"/>
      <c r="G138" s="107"/>
      <c r="H138" s="107"/>
      <c r="I138" s="107"/>
      <c r="J138" s="107"/>
      <c r="K138" s="107"/>
      <c r="L138" s="107"/>
      <c r="M138" s="107"/>
      <c r="N138" s="107"/>
      <c r="O138" s="107"/>
      <c r="P138" s="107"/>
      <c r="Q138" s="107"/>
      <c r="R138" s="107"/>
      <c r="S138" s="107"/>
    </row>
    <row r="139" spans="1:19" s="106" customFormat="1" ht="15" customHeight="1">
      <c r="A139" s="110"/>
      <c r="B139" s="111"/>
      <c r="C139" s="182"/>
      <c r="D139" s="183"/>
      <c r="E139" s="184"/>
      <c r="F139" s="115"/>
      <c r="G139" s="107"/>
      <c r="H139" s="107"/>
      <c r="I139" s="107"/>
      <c r="J139" s="107"/>
      <c r="K139" s="107"/>
      <c r="L139" s="107"/>
      <c r="M139" s="107"/>
      <c r="N139" s="107"/>
      <c r="O139" s="107"/>
      <c r="P139" s="107"/>
      <c r="Q139" s="107"/>
      <c r="R139" s="107"/>
      <c r="S139" s="107"/>
    </row>
    <row r="140" spans="1:19" s="106" customFormat="1" ht="15" customHeight="1">
      <c r="A140" s="110"/>
      <c r="B140" s="111"/>
      <c r="C140" s="182"/>
      <c r="D140" s="183"/>
      <c r="E140" s="184"/>
      <c r="F140" s="115"/>
      <c r="G140" s="107"/>
      <c r="H140" s="107"/>
      <c r="I140" s="107"/>
      <c r="J140" s="107"/>
      <c r="K140" s="107"/>
      <c r="L140" s="107"/>
      <c r="M140" s="107"/>
      <c r="N140" s="107"/>
      <c r="O140" s="107"/>
      <c r="P140" s="107"/>
      <c r="Q140" s="107"/>
      <c r="R140" s="107"/>
      <c r="S140" s="107"/>
    </row>
    <row r="141" spans="1:19" s="106" customFormat="1" ht="15" customHeight="1">
      <c r="A141" s="110"/>
      <c r="B141" s="111"/>
      <c r="C141" s="182"/>
      <c r="D141" s="183"/>
      <c r="E141" s="184"/>
      <c r="F141" s="115"/>
      <c r="G141" s="107"/>
      <c r="H141" s="107"/>
      <c r="I141" s="107"/>
      <c r="J141" s="107"/>
      <c r="K141" s="107"/>
      <c r="L141" s="107"/>
      <c r="M141" s="107"/>
      <c r="N141" s="107"/>
      <c r="O141" s="107"/>
      <c r="P141" s="107"/>
      <c r="Q141" s="107"/>
      <c r="R141" s="107"/>
      <c r="S141" s="107"/>
    </row>
    <row r="142" spans="1:19" s="106" customFormat="1" ht="15" customHeight="1">
      <c r="A142" s="110"/>
      <c r="B142" s="111"/>
      <c r="C142" s="182"/>
      <c r="D142" s="183"/>
      <c r="E142" s="184"/>
      <c r="F142" s="115"/>
      <c r="G142" s="107"/>
      <c r="H142" s="107"/>
      <c r="I142" s="107"/>
      <c r="J142" s="107"/>
      <c r="K142" s="107"/>
      <c r="L142" s="107"/>
      <c r="M142" s="107"/>
      <c r="N142" s="107"/>
      <c r="O142" s="107"/>
      <c r="P142" s="107"/>
      <c r="Q142" s="107"/>
      <c r="R142" s="107"/>
      <c r="S142" s="107"/>
    </row>
    <row r="143" spans="1:19" s="106" customFormat="1" ht="15" customHeight="1">
      <c r="A143" s="110"/>
      <c r="B143" s="111"/>
      <c r="C143" s="182"/>
      <c r="D143" s="183"/>
      <c r="E143" s="184"/>
      <c r="F143" s="115"/>
      <c r="G143" s="107"/>
      <c r="H143" s="107"/>
      <c r="I143" s="107"/>
      <c r="J143" s="107"/>
      <c r="K143" s="107"/>
      <c r="L143" s="107"/>
      <c r="M143" s="107"/>
      <c r="N143" s="107"/>
      <c r="O143" s="107"/>
      <c r="P143" s="107"/>
      <c r="Q143" s="107"/>
      <c r="R143" s="107"/>
      <c r="S143" s="107"/>
    </row>
    <row r="144" spans="1:19" s="106" customFormat="1" ht="15" customHeight="1">
      <c r="A144" s="110"/>
      <c r="B144" s="111"/>
      <c r="C144" s="182"/>
      <c r="D144" s="183"/>
      <c r="E144" s="184"/>
      <c r="F144" s="115"/>
      <c r="G144" s="107"/>
      <c r="H144" s="107"/>
      <c r="I144" s="107"/>
      <c r="J144" s="107"/>
      <c r="K144" s="107"/>
      <c r="L144" s="107"/>
      <c r="M144" s="107"/>
      <c r="N144" s="107"/>
      <c r="O144" s="107"/>
      <c r="P144" s="107"/>
      <c r="Q144" s="107"/>
      <c r="R144" s="107"/>
      <c r="S144" s="107"/>
    </row>
    <row r="145" spans="1:19" s="106" customFormat="1" ht="15" customHeight="1">
      <c r="A145" s="110"/>
      <c r="B145" s="111"/>
      <c r="C145" s="182"/>
      <c r="D145" s="183"/>
      <c r="E145" s="184"/>
      <c r="F145" s="115"/>
      <c r="G145" s="107"/>
      <c r="H145" s="107"/>
      <c r="I145" s="107"/>
      <c r="J145" s="107"/>
      <c r="K145" s="107"/>
      <c r="L145" s="107"/>
      <c r="M145" s="107"/>
      <c r="N145" s="107"/>
      <c r="O145" s="107"/>
      <c r="P145" s="107"/>
      <c r="Q145" s="107"/>
      <c r="R145" s="107"/>
      <c r="S145" s="107"/>
    </row>
    <row r="146" spans="1:19" s="106" customFormat="1" ht="15" customHeight="1">
      <c r="A146" s="110"/>
      <c r="B146" s="111"/>
      <c r="C146" s="182"/>
      <c r="D146" s="183"/>
      <c r="E146" s="184"/>
      <c r="F146" s="115"/>
      <c r="G146" s="107"/>
      <c r="H146" s="107"/>
      <c r="I146" s="107"/>
      <c r="J146" s="107"/>
      <c r="K146" s="107"/>
      <c r="L146" s="107"/>
      <c r="M146" s="107"/>
      <c r="N146" s="107"/>
      <c r="O146" s="107"/>
      <c r="P146" s="107"/>
      <c r="Q146" s="107"/>
      <c r="R146" s="107"/>
      <c r="S146" s="107"/>
    </row>
    <row r="147" spans="1:19" s="106" customFormat="1" ht="15" customHeight="1">
      <c r="A147" s="110"/>
      <c r="B147" s="111"/>
      <c r="C147" s="182"/>
      <c r="D147" s="183"/>
      <c r="E147" s="184"/>
      <c r="F147" s="115"/>
      <c r="G147" s="107"/>
      <c r="H147" s="107"/>
      <c r="I147" s="107"/>
      <c r="J147" s="107"/>
      <c r="K147" s="107"/>
      <c r="L147" s="107"/>
      <c r="M147" s="107"/>
      <c r="N147" s="107"/>
      <c r="O147" s="107"/>
      <c r="P147" s="107"/>
      <c r="Q147" s="107"/>
      <c r="R147" s="107"/>
      <c r="S147" s="107"/>
    </row>
    <row r="148" spans="1:19" s="106" customFormat="1" ht="15" customHeight="1">
      <c r="A148" s="110"/>
      <c r="B148" s="111"/>
      <c r="C148" s="182"/>
      <c r="D148" s="183"/>
      <c r="E148" s="184"/>
      <c r="F148" s="115"/>
      <c r="G148" s="107"/>
      <c r="H148" s="107"/>
      <c r="I148" s="107"/>
      <c r="J148" s="107"/>
      <c r="K148" s="107"/>
      <c r="L148" s="107"/>
      <c r="M148" s="107"/>
      <c r="N148" s="107"/>
      <c r="O148" s="107"/>
      <c r="P148" s="107"/>
      <c r="Q148" s="107"/>
      <c r="R148" s="107"/>
      <c r="S148" s="107"/>
    </row>
    <row r="149" spans="1:19" s="106" customFormat="1" ht="15" customHeight="1">
      <c r="A149" s="110"/>
      <c r="B149" s="111"/>
      <c r="C149" s="182"/>
      <c r="D149" s="183"/>
      <c r="E149" s="184"/>
      <c r="F149" s="115"/>
      <c r="G149" s="107"/>
      <c r="H149" s="107"/>
      <c r="I149" s="107"/>
      <c r="J149" s="107"/>
      <c r="K149" s="107"/>
      <c r="L149" s="107"/>
      <c r="M149" s="107"/>
      <c r="N149" s="107"/>
      <c r="O149" s="107"/>
      <c r="P149" s="107"/>
      <c r="Q149" s="107"/>
      <c r="R149" s="107"/>
      <c r="S149" s="107"/>
    </row>
    <row r="150" spans="1:19" s="106" customFormat="1" ht="15" customHeight="1">
      <c r="A150" s="110"/>
      <c r="B150" s="111"/>
      <c r="C150" s="182"/>
      <c r="D150" s="183"/>
      <c r="E150" s="184"/>
      <c r="F150" s="115"/>
      <c r="G150" s="107"/>
      <c r="H150" s="107"/>
      <c r="I150" s="107"/>
      <c r="J150" s="107"/>
      <c r="K150" s="107"/>
      <c r="L150" s="107"/>
      <c r="M150" s="107"/>
      <c r="N150" s="107"/>
      <c r="O150" s="107"/>
      <c r="P150" s="107"/>
      <c r="Q150" s="107"/>
      <c r="R150" s="107"/>
      <c r="S150" s="107"/>
    </row>
    <row r="151" spans="1:19" s="106" customFormat="1" ht="15" customHeight="1">
      <c r="A151" s="110"/>
      <c r="B151" s="111"/>
      <c r="C151" s="182"/>
      <c r="D151" s="183"/>
      <c r="E151" s="184"/>
      <c r="F151" s="115"/>
      <c r="G151" s="107"/>
      <c r="H151" s="107"/>
      <c r="I151" s="107"/>
      <c r="J151" s="107"/>
      <c r="K151" s="107"/>
      <c r="L151" s="107"/>
      <c r="M151" s="107"/>
      <c r="N151" s="107"/>
      <c r="O151" s="107"/>
      <c r="P151" s="107"/>
      <c r="Q151" s="107"/>
      <c r="R151" s="107"/>
      <c r="S151" s="107"/>
    </row>
    <row r="152" spans="1:19" s="106" customFormat="1" ht="15" customHeight="1">
      <c r="A152" s="110"/>
      <c r="B152" s="111"/>
      <c r="C152" s="182"/>
      <c r="D152" s="183"/>
      <c r="E152" s="184"/>
      <c r="F152" s="115"/>
      <c r="G152" s="107"/>
      <c r="H152" s="107"/>
      <c r="I152" s="107"/>
      <c r="J152" s="107"/>
      <c r="K152" s="107"/>
      <c r="L152" s="107"/>
      <c r="M152" s="107"/>
      <c r="N152" s="107"/>
      <c r="O152" s="107"/>
      <c r="P152" s="107"/>
      <c r="Q152" s="107"/>
      <c r="R152" s="107"/>
      <c r="S152" s="107"/>
    </row>
    <row r="153" spans="1:19" s="106" customFormat="1" ht="15" customHeight="1">
      <c r="A153" s="110"/>
      <c r="B153" s="111"/>
      <c r="C153" s="182"/>
      <c r="D153" s="183"/>
      <c r="E153" s="184"/>
      <c r="F153" s="115"/>
      <c r="G153" s="107"/>
      <c r="H153" s="107"/>
      <c r="I153" s="107"/>
      <c r="J153" s="107"/>
      <c r="K153" s="107"/>
      <c r="L153" s="107"/>
      <c r="M153" s="107"/>
      <c r="N153" s="107"/>
      <c r="O153" s="107"/>
      <c r="P153" s="107"/>
      <c r="Q153" s="107"/>
      <c r="R153" s="107"/>
      <c r="S153" s="107"/>
    </row>
    <row r="154" spans="1:19" s="106" customFormat="1" ht="15" customHeight="1">
      <c r="A154" s="110"/>
      <c r="B154" s="111"/>
      <c r="C154" s="182"/>
      <c r="D154" s="183"/>
      <c r="E154" s="184"/>
      <c r="F154" s="115"/>
      <c r="G154" s="107"/>
      <c r="H154" s="107"/>
      <c r="I154" s="107"/>
      <c r="J154" s="107"/>
      <c r="K154" s="107"/>
      <c r="L154" s="107"/>
      <c r="M154" s="107"/>
      <c r="N154" s="107"/>
      <c r="O154" s="107"/>
      <c r="P154" s="107"/>
      <c r="Q154" s="107"/>
      <c r="R154" s="107"/>
      <c r="S154" s="107"/>
    </row>
    <row r="155" spans="1:19" s="106" customFormat="1" ht="15" customHeight="1">
      <c r="A155" s="110"/>
      <c r="B155" s="111"/>
      <c r="C155" s="182"/>
      <c r="D155" s="183"/>
      <c r="E155" s="184"/>
      <c r="F155" s="115"/>
      <c r="G155" s="107"/>
      <c r="H155" s="107"/>
      <c r="I155" s="107"/>
      <c r="J155" s="107"/>
      <c r="K155" s="107"/>
      <c r="L155" s="107"/>
      <c r="M155" s="107"/>
      <c r="N155" s="107"/>
      <c r="O155" s="107"/>
      <c r="P155" s="107"/>
      <c r="Q155" s="107"/>
      <c r="R155" s="107"/>
      <c r="S155" s="107"/>
    </row>
    <row r="156" spans="1:19" s="106" customFormat="1" ht="15" customHeight="1">
      <c r="A156" s="110"/>
      <c r="B156" s="111"/>
      <c r="C156" s="182"/>
      <c r="D156" s="183"/>
      <c r="E156" s="184"/>
      <c r="F156" s="115"/>
      <c r="G156" s="107"/>
      <c r="H156" s="107"/>
      <c r="I156" s="107"/>
      <c r="J156" s="107"/>
      <c r="K156" s="107"/>
      <c r="L156" s="107"/>
      <c r="M156" s="107"/>
      <c r="N156" s="107"/>
      <c r="O156" s="107"/>
      <c r="P156" s="107"/>
      <c r="Q156" s="107"/>
      <c r="R156" s="107"/>
      <c r="S156" s="107"/>
    </row>
    <row r="157" spans="1:19" s="106" customFormat="1" ht="15" customHeight="1">
      <c r="A157" s="110"/>
      <c r="B157" s="111"/>
      <c r="C157" s="182"/>
      <c r="D157" s="183"/>
      <c r="E157" s="184"/>
      <c r="F157" s="115"/>
      <c r="G157" s="107"/>
      <c r="H157" s="107"/>
      <c r="I157" s="107"/>
      <c r="J157" s="107"/>
      <c r="K157" s="107"/>
      <c r="L157" s="107"/>
      <c r="M157" s="107"/>
      <c r="N157" s="107"/>
      <c r="O157" s="107"/>
      <c r="P157" s="107"/>
      <c r="Q157" s="107"/>
      <c r="R157" s="107"/>
      <c r="S157" s="107"/>
    </row>
    <row r="158" spans="1:19" s="106" customFormat="1" ht="15" customHeight="1">
      <c r="A158" s="110"/>
      <c r="B158" s="111"/>
      <c r="C158" s="182"/>
      <c r="D158" s="183"/>
      <c r="E158" s="184"/>
      <c r="F158" s="115"/>
      <c r="G158" s="107"/>
      <c r="H158" s="107"/>
      <c r="I158" s="107"/>
      <c r="J158" s="107"/>
      <c r="K158" s="107"/>
      <c r="L158" s="107"/>
      <c r="M158" s="107"/>
      <c r="N158" s="107"/>
      <c r="O158" s="107"/>
      <c r="P158" s="107"/>
      <c r="Q158" s="107"/>
      <c r="R158" s="107"/>
      <c r="S158" s="107"/>
    </row>
    <row r="159" spans="1:19" s="106" customFormat="1" ht="15" customHeight="1">
      <c r="A159" s="110"/>
      <c r="B159" s="111"/>
      <c r="C159" s="182"/>
      <c r="D159" s="183"/>
      <c r="E159" s="184"/>
      <c r="F159" s="115"/>
      <c r="G159" s="107"/>
      <c r="H159" s="107"/>
      <c r="I159" s="107"/>
      <c r="J159" s="107"/>
      <c r="K159" s="107"/>
      <c r="L159" s="107"/>
      <c r="M159" s="107"/>
      <c r="N159" s="107"/>
      <c r="O159" s="107"/>
      <c r="P159" s="107"/>
      <c r="Q159" s="107"/>
      <c r="R159" s="107"/>
      <c r="S159" s="107"/>
    </row>
    <row r="160" spans="1:19" s="106" customFormat="1" ht="15" customHeight="1">
      <c r="A160" s="110"/>
      <c r="B160" s="111"/>
      <c r="C160" s="182"/>
      <c r="D160" s="183"/>
      <c r="E160" s="184"/>
      <c r="F160" s="115"/>
      <c r="G160" s="107"/>
      <c r="H160" s="107"/>
      <c r="I160" s="107"/>
      <c r="J160" s="107"/>
      <c r="K160" s="107"/>
      <c r="L160" s="107"/>
      <c r="M160" s="107"/>
      <c r="N160" s="107"/>
      <c r="O160" s="107"/>
      <c r="P160" s="107"/>
      <c r="Q160" s="107"/>
      <c r="R160" s="107"/>
      <c r="S160" s="107"/>
    </row>
    <row r="161" spans="1:19" s="106" customFormat="1" ht="15" customHeight="1">
      <c r="A161" s="110"/>
      <c r="B161" s="111"/>
      <c r="C161" s="182"/>
      <c r="D161" s="183"/>
      <c r="E161" s="184"/>
      <c r="F161" s="115"/>
      <c r="G161" s="107"/>
      <c r="H161" s="107"/>
      <c r="I161" s="107"/>
      <c r="J161" s="107"/>
      <c r="K161" s="107"/>
      <c r="L161" s="107"/>
      <c r="M161" s="107"/>
      <c r="N161" s="107"/>
      <c r="O161" s="107"/>
      <c r="P161" s="107"/>
      <c r="Q161" s="107"/>
      <c r="R161" s="107"/>
      <c r="S161" s="107"/>
    </row>
    <row r="162" spans="1:19" s="106" customFormat="1" ht="15" customHeight="1">
      <c r="A162" s="110"/>
      <c r="B162" s="111"/>
      <c r="C162" s="182"/>
      <c r="D162" s="183"/>
      <c r="E162" s="184"/>
      <c r="F162" s="115"/>
      <c r="G162" s="107"/>
      <c r="H162" s="107"/>
      <c r="I162" s="107"/>
      <c r="J162" s="107"/>
      <c r="K162" s="107"/>
      <c r="L162" s="107"/>
      <c r="M162" s="107"/>
      <c r="N162" s="107"/>
      <c r="O162" s="107"/>
      <c r="P162" s="107"/>
      <c r="Q162" s="107"/>
      <c r="R162" s="107"/>
      <c r="S162" s="107"/>
    </row>
    <row r="163" spans="1:19" s="106" customFormat="1" ht="15" customHeight="1">
      <c r="A163" s="110"/>
      <c r="B163" s="111"/>
      <c r="C163" s="182"/>
      <c r="D163" s="183"/>
      <c r="E163" s="184"/>
      <c r="F163" s="115"/>
      <c r="G163" s="107"/>
      <c r="H163" s="107"/>
      <c r="I163" s="107"/>
      <c r="J163" s="107"/>
      <c r="K163" s="107"/>
      <c r="L163" s="107"/>
      <c r="M163" s="107"/>
      <c r="N163" s="107"/>
      <c r="O163" s="107"/>
      <c r="P163" s="107"/>
      <c r="Q163" s="107"/>
      <c r="R163" s="107"/>
      <c r="S163" s="107"/>
    </row>
    <row r="164" spans="1:19" s="106" customFormat="1" ht="15" customHeight="1">
      <c r="A164" s="110"/>
      <c r="B164" s="111"/>
      <c r="C164" s="182"/>
      <c r="D164" s="183"/>
      <c r="E164" s="184"/>
      <c r="F164" s="115"/>
      <c r="G164" s="107"/>
      <c r="H164" s="107"/>
      <c r="I164" s="107"/>
      <c r="J164" s="107"/>
      <c r="K164" s="107"/>
      <c r="L164" s="107"/>
      <c r="M164" s="107"/>
      <c r="N164" s="107"/>
      <c r="O164" s="107"/>
      <c r="P164" s="107"/>
      <c r="Q164" s="107"/>
      <c r="R164" s="107"/>
      <c r="S164" s="107"/>
    </row>
    <row r="165" spans="1:19" s="106" customFormat="1" ht="15" customHeight="1">
      <c r="A165" s="110"/>
      <c r="B165" s="111"/>
      <c r="C165" s="182"/>
      <c r="D165" s="183"/>
      <c r="E165" s="184"/>
      <c r="F165" s="115"/>
      <c r="G165" s="107"/>
      <c r="H165" s="107"/>
      <c r="I165" s="107"/>
      <c r="J165" s="107"/>
      <c r="K165" s="107"/>
      <c r="L165" s="107"/>
      <c r="M165" s="107"/>
      <c r="N165" s="107"/>
      <c r="O165" s="107"/>
      <c r="P165" s="107"/>
      <c r="Q165" s="107"/>
      <c r="R165" s="107"/>
      <c r="S165" s="107"/>
    </row>
    <row r="166" spans="1:19" s="106" customFormat="1" ht="15" customHeight="1">
      <c r="A166" s="110"/>
      <c r="B166" s="111"/>
      <c r="C166" s="182"/>
      <c r="D166" s="183"/>
      <c r="E166" s="184"/>
      <c r="F166" s="115"/>
      <c r="G166" s="107"/>
      <c r="H166" s="107"/>
      <c r="I166" s="107"/>
      <c r="J166" s="107"/>
      <c r="K166" s="107"/>
      <c r="L166" s="107"/>
      <c r="M166" s="107"/>
      <c r="N166" s="107"/>
      <c r="O166" s="107"/>
      <c r="P166" s="107"/>
      <c r="Q166" s="107"/>
      <c r="R166" s="107"/>
      <c r="S166" s="107"/>
    </row>
    <row r="167" spans="1:19" s="106" customFormat="1" ht="15" customHeight="1">
      <c r="A167" s="110"/>
      <c r="B167" s="111"/>
      <c r="C167" s="182"/>
      <c r="D167" s="183"/>
      <c r="E167" s="184"/>
      <c r="F167" s="115"/>
      <c r="G167" s="107"/>
      <c r="H167" s="107"/>
      <c r="I167" s="107"/>
      <c r="J167" s="107"/>
      <c r="K167" s="107"/>
      <c r="L167" s="107"/>
      <c r="M167" s="107"/>
      <c r="N167" s="107"/>
      <c r="O167" s="107"/>
      <c r="P167" s="107"/>
      <c r="Q167" s="107"/>
      <c r="R167" s="107"/>
      <c r="S167" s="107"/>
    </row>
    <row r="168" spans="1:19" s="106" customFormat="1" ht="15" customHeight="1">
      <c r="A168" s="110"/>
      <c r="B168" s="111"/>
      <c r="C168" s="182"/>
      <c r="D168" s="183"/>
      <c r="E168" s="184"/>
      <c r="F168" s="115"/>
      <c r="G168" s="107"/>
      <c r="H168" s="107"/>
      <c r="I168" s="107"/>
      <c r="J168" s="107"/>
      <c r="K168" s="107"/>
      <c r="L168" s="107"/>
      <c r="M168" s="107"/>
      <c r="N168" s="107"/>
      <c r="O168" s="107"/>
      <c r="P168" s="107"/>
      <c r="Q168" s="107"/>
      <c r="R168" s="107"/>
      <c r="S168" s="107"/>
    </row>
    <row r="169" spans="1:19" s="106" customFormat="1" ht="15" customHeight="1">
      <c r="A169" s="110"/>
      <c r="B169" s="111"/>
      <c r="C169" s="182"/>
      <c r="D169" s="183"/>
      <c r="E169" s="184"/>
      <c r="F169" s="115"/>
      <c r="G169" s="107"/>
      <c r="H169" s="107"/>
      <c r="I169" s="107"/>
      <c r="J169" s="107"/>
      <c r="K169" s="107"/>
      <c r="L169" s="107"/>
      <c r="M169" s="107"/>
      <c r="N169" s="107"/>
      <c r="O169" s="107"/>
      <c r="P169" s="107"/>
      <c r="Q169" s="107"/>
      <c r="R169" s="107"/>
      <c r="S169" s="107"/>
    </row>
    <row r="170" spans="1:19" s="106" customFormat="1" ht="15" customHeight="1">
      <c r="A170" s="110"/>
      <c r="B170" s="111"/>
      <c r="C170" s="182"/>
      <c r="D170" s="183"/>
      <c r="E170" s="184"/>
      <c r="F170" s="115"/>
      <c r="G170" s="107"/>
      <c r="H170" s="107"/>
      <c r="I170" s="107"/>
      <c r="J170" s="107"/>
      <c r="K170" s="107"/>
      <c r="L170" s="107"/>
      <c r="M170" s="107"/>
      <c r="N170" s="107"/>
      <c r="O170" s="107"/>
      <c r="P170" s="107"/>
      <c r="Q170" s="107"/>
      <c r="R170" s="107"/>
      <c r="S170" s="107"/>
    </row>
    <row r="171" spans="1:19" s="106" customFormat="1" ht="15" customHeight="1">
      <c r="A171" s="110"/>
      <c r="B171" s="111"/>
      <c r="C171" s="182"/>
      <c r="D171" s="183"/>
      <c r="E171" s="184"/>
      <c r="F171" s="115"/>
      <c r="G171" s="107"/>
      <c r="H171" s="107"/>
      <c r="I171" s="107"/>
      <c r="J171" s="107"/>
      <c r="K171" s="107"/>
      <c r="L171" s="107"/>
      <c r="M171" s="107"/>
      <c r="N171" s="107"/>
      <c r="O171" s="107"/>
      <c r="P171" s="107"/>
      <c r="Q171" s="107"/>
      <c r="R171" s="107"/>
      <c r="S171" s="107"/>
    </row>
    <row r="172" spans="1:19" s="106" customFormat="1" ht="15" customHeight="1">
      <c r="A172" s="110"/>
      <c r="B172" s="111"/>
      <c r="C172" s="182"/>
      <c r="D172" s="183"/>
      <c r="E172" s="184"/>
      <c r="F172" s="115"/>
      <c r="G172" s="107"/>
      <c r="H172" s="107"/>
      <c r="I172" s="107"/>
      <c r="J172" s="107"/>
      <c r="K172" s="107"/>
      <c r="L172" s="107"/>
      <c r="M172" s="107"/>
      <c r="N172" s="107"/>
      <c r="O172" s="107"/>
      <c r="P172" s="107"/>
      <c r="Q172" s="107"/>
      <c r="R172" s="107"/>
      <c r="S172" s="107"/>
    </row>
    <row r="173" spans="1:19" s="106" customFormat="1" ht="15" customHeight="1">
      <c r="A173" s="110"/>
      <c r="B173" s="111"/>
      <c r="C173" s="182"/>
      <c r="D173" s="183"/>
      <c r="E173" s="184"/>
      <c r="F173" s="115"/>
      <c r="G173" s="107"/>
      <c r="H173" s="107"/>
      <c r="I173" s="107"/>
      <c r="J173" s="107"/>
      <c r="K173" s="107"/>
      <c r="L173" s="107"/>
      <c r="M173" s="107"/>
      <c r="N173" s="107"/>
      <c r="O173" s="107"/>
      <c r="P173" s="107"/>
      <c r="Q173" s="107"/>
      <c r="R173" s="107"/>
      <c r="S173" s="107"/>
    </row>
    <row r="174" spans="1:19" s="106" customFormat="1" ht="15" customHeight="1">
      <c r="A174" s="110"/>
      <c r="B174" s="111"/>
      <c r="C174" s="182"/>
      <c r="D174" s="183"/>
      <c r="E174" s="184"/>
      <c r="F174" s="115"/>
      <c r="G174" s="107"/>
      <c r="H174" s="107"/>
      <c r="I174" s="107"/>
      <c r="J174" s="107"/>
      <c r="K174" s="107"/>
      <c r="L174" s="107"/>
      <c r="M174" s="107"/>
      <c r="N174" s="107"/>
      <c r="O174" s="107"/>
      <c r="P174" s="107"/>
      <c r="Q174" s="107"/>
      <c r="R174" s="107"/>
      <c r="S174" s="107"/>
    </row>
    <row r="175" spans="1:19" s="106" customFormat="1" ht="15" customHeight="1">
      <c r="A175" s="110"/>
      <c r="B175" s="111"/>
      <c r="C175" s="182"/>
      <c r="D175" s="183"/>
      <c r="E175" s="184"/>
      <c r="F175" s="115"/>
      <c r="G175" s="107"/>
      <c r="H175" s="107"/>
      <c r="I175" s="107"/>
      <c r="J175" s="107"/>
      <c r="K175" s="107"/>
      <c r="L175" s="107"/>
      <c r="M175" s="107"/>
      <c r="N175" s="107"/>
      <c r="O175" s="107"/>
      <c r="P175" s="107"/>
      <c r="Q175" s="107"/>
      <c r="R175" s="107"/>
      <c r="S175" s="107"/>
    </row>
    <row r="176" spans="1:19" s="106" customFormat="1" ht="15" customHeight="1">
      <c r="A176" s="110"/>
      <c r="B176" s="111"/>
      <c r="C176" s="182"/>
      <c r="D176" s="183"/>
      <c r="E176" s="184"/>
      <c r="F176" s="115"/>
      <c r="G176" s="107"/>
      <c r="H176" s="107"/>
      <c r="I176" s="107"/>
      <c r="J176" s="107"/>
      <c r="K176" s="107"/>
      <c r="L176" s="107"/>
      <c r="M176" s="107"/>
      <c r="N176" s="107"/>
      <c r="O176" s="107"/>
      <c r="P176" s="107"/>
      <c r="Q176" s="107"/>
      <c r="R176" s="107"/>
      <c r="S176" s="107"/>
    </row>
    <row r="177" spans="1:19" s="106" customFormat="1" ht="15" customHeight="1">
      <c r="A177" s="110"/>
      <c r="B177" s="111"/>
      <c r="C177" s="182"/>
      <c r="D177" s="183"/>
      <c r="E177" s="184"/>
      <c r="F177" s="115"/>
      <c r="G177" s="107"/>
      <c r="H177" s="107"/>
      <c r="I177" s="107"/>
      <c r="J177" s="107"/>
      <c r="K177" s="107"/>
      <c r="L177" s="107"/>
      <c r="M177" s="107"/>
      <c r="N177" s="107"/>
      <c r="O177" s="107"/>
      <c r="P177" s="107"/>
      <c r="Q177" s="107"/>
      <c r="R177" s="107"/>
      <c r="S177" s="107"/>
    </row>
    <row r="178" spans="1:19" s="106" customFormat="1" ht="15" customHeight="1">
      <c r="A178" s="110"/>
      <c r="B178" s="111"/>
      <c r="C178" s="182"/>
      <c r="D178" s="183"/>
      <c r="E178" s="184"/>
      <c r="F178" s="115"/>
      <c r="G178" s="107"/>
      <c r="H178" s="107"/>
      <c r="I178" s="107"/>
      <c r="J178" s="107"/>
      <c r="K178" s="107"/>
      <c r="L178" s="107"/>
      <c r="M178" s="107"/>
      <c r="N178" s="107"/>
      <c r="O178" s="107"/>
      <c r="P178" s="107"/>
      <c r="Q178" s="107"/>
      <c r="R178" s="107"/>
      <c r="S178" s="107"/>
    </row>
    <row r="179" spans="1:19" s="106" customFormat="1" ht="15" customHeight="1">
      <c r="A179" s="110"/>
      <c r="B179" s="111"/>
      <c r="C179" s="182"/>
      <c r="D179" s="183"/>
      <c r="E179" s="184"/>
      <c r="F179" s="115"/>
      <c r="G179" s="107"/>
      <c r="H179" s="107"/>
      <c r="I179" s="107"/>
      <c r="J179" s="107"/>
      <c r="K179" s="107"/>
      <c r="L179" s="107"/>
      <c r="M179" s="107"/>
      <c r="N179" s="107"/>
      <c r="O179" s="107"/>
      <c r="P179" s="107"/>
      <c r="Q179" s="107"/>
      <c r="R179" s="107"/>
      <c r="S179" s="107"/>
    </row>
    <row r="180" spans="1:19" s="106" customFormat="1" ht="15" customHeight="1">
      <c r="A180" s="110"/>
      <c r="B180" s="111"/>
      <c r="C180" s="182"/>
      <c r="D180" s="183"/>
      <c r="E180" s="184"/>
      <c r="F180" s="115"/>
      <c r="G180" s="107"/>
      <c r="H180" s="107"/>
      <c r="I180" s="107"/>
      <c r="J180" s="107"/>
      <c r="K180" s="107"/>
      <c r="L180" s="107"/>
      <c r="M180" s="107"/>
      <c r="N180" s="107"/>
      <c r="O180" s="107"/>
      <c r="P180" s="107"/>
      <c r="Q180" s="107"/>
      <c r="R180" s="107"/>
      <c r="S180" s="107"/>
    </row>
    <row r="181" spans="1:19" s="106" customFormat="1" ht="15" customHeight="1">
      <c r="A181" s="110"/>
      <c r="B181" s="111"/>
      <c r="C181" s="182"/>
      <c r="D181" s="183"/>
      <c r="E181" s="184"/>
      <c r="F181" s="115"/>
      <c r="G181" s="107"/>
      <c r="H181" s="107"/>
      <c r="I181" s="107"/>
      <c r="J181" s="107"/>
      <c r="K181" s="107"/>
      <c r="L181" s="107"/>
      <c r="M181" s="107"/>
      <c r="N181" s="107"/>
      <c r="O181" s="107"/>
      <c r="P181" s="107"/>
      <c r="Q181" s="107"/>
      <c r="R181" s="107"/>
      <c r="S181" s="107"/>
    </row>
    <row r="182" spans="1:19" s="106" customFormat="1" ht="15" customHeight="1">
      <c r="A182" s="110"/>
      <c r="B182" s="111"/>
      <c r="C182" s="182"/>
      <c r="D182" s="183"/>
      <c r="E182" s="184"/>
      <c r="F182" s="115"/>
      <c r="G182" s="107"/>
      <c r="H182" s="107"/>
      <c r="I182" s="107"/>
      <c r="J182" s="107"/>
      <c r="K182" s="107"/>
      <c r="L182" s="107"/>
      <c r="M182" s="107"/>
      <c r="N182" s="107"/>
      <c r="O182" s="107"/>
      <c r="P182" s="107"/>
      <c r="Q182" s="107"/>
      <c r="R182" s="107"/>
      <c r="S182" s="107"/>
    </row>
    <row r="183" spans="1:19" s="106" customFormat="1" ht="15" customHeight="1">
      <c r="A183" s="110"/>
      <c r="B183" s="111"/>
      <c r="C183" s="182"/>
      <c r="D183" s="183"/>
      <c r="E183" s="184"/>
      <c r="F183" s="115"/>
      <c r="G183" s="107"/>
      <c r="H183" s="107"/>
      <c r="I183" s="107"/>
      <c r="J183" s="107"/>
      <c r="K183" s="107"/>
      <c r="L183" s="107"/>
      <c r="M183" s="107"/>
      <c r="N183" s="107"/>
      <c r="O183" s="107"/>
      <c r="P183" s="107"/>
      <c r="Q183" s="107"/>
      <c r="R183" s="107"/>
      <c r="S183" s="107"/>
    </row>
    <row r="184" spans="1:19" s="106" customFormat="1" ht="15" customHeight="1">
      <c r="A184" s="110"/>
      <c r="B184" s="111"/>
      <c r="C184" s="182"/>
      <c r="D184" s="183"/>
      <c r="E184" s="184"/>
      <c r="F184" s="115"/>
      <c r="G184" s="107"/>
      <c r="H184" s="107"/>
      <c r="I184" s="107"/>
      <c r="J184" s="107"/>
      <c r="K184" s="107"/>
      <c r="L184" s="107"/>
      <c r="M184" s="107"/>
      <c r="N184" s="107"/>
      <c r="O184" s="107"/>
      <c r="P184" s="107"/>
      <c r="Q184" s="107"/>
      <c r="R184" s="107"/>
      <c r="S184" s="107"/>
    </row>
    <row r="185" spans="1:19" s="106" customFormat="1" ht="15" customHeight="1">
      <c r="A185" s="110"/>
      <c r="B185" s="111"/>
      <c r="C185" s="182"/>
      <c r="D185" s="183"/>
      <c r="E185" s="184"/>
      <c r="F185" s="115"/>
      <c r="G185" s="107"/>
      <c r="H185" s="107"/>
      <c r="I185" s="107"/>
      <c r="J185" s="107"/>
      <c r="K185" s="107"/>
      <c r="L185" s="107"/>
      <c r="M185" s="107"/>
      <c r="N185" s="107"/>
      <c r="O185" s="107"/>
      <c r="P185" s="107"/>
      <c r="Q185" s="107"/>
      <c r="R185" s="107"/>
      <c r="S185" s="107"/>
    </row>
    <row r="186" spans="1:19" s="106" customFormat="1" ht="15" customHeight="1">
      <c r="A186" s="110"/>
      <c r="B186" s="111"/>
      <c r="C186" s="182"/>
      <c r="D186" s="183"/>
      <c r="E186" s="184"/>
      <c r="F186" s="115"/>
      <c r="G186" s="107"/>
      <c r="H186" s="107"/>
      <c r="I186" s="107"/>
      <c r="J186" s="107"/>
      <c r="K186" s="107"/>
      <c r="L186" s="107"/>
      <c r="M186" s="107"/>
      <c r="N186" s="107"/>
      <c r="O186" s="107"/>
      <c r="P186" s="107"/>
      <c r="Q186" s="107"/>
      <c r="R186" s="107"/>
      <c r="S186" s="107"/>
    </row>
    <row r="187" spans="1:19" s="106" customFormat="1" ht="15" customHeight="1">
      <c r="A187" s="110"/>
      <c r="B187" s="111"/>
      <c r="C187" s="182"/>
      <c r="D187" s="183"/>
      <c r="E187" s="184"/>
      <c r="F187" s="115"/>
      <c r="G187" s="107"/>
      <c r="H187" s="107"/>
      <c r="I187" s="107"/>
      <c r="J187" s="107"/>
      <c r="K187" s="107"/>
      <c r="L187" s="107"/>
      <c r="M187" s="107"/>
      <c r="N187" s="107"/>
      <c r="O187" s="107"/>
      <c r="P187" s="107"/>
      <c r="Q187" s="107"/>
      <c r="R187" s="107"/>
      <c r="S187" s="107"/>
    </row>
    <row r="188" spans="1:19" s="106" customFormat="1" ht="15" customHeight="1">
      <c r="A188" s="110"/>
      <c r="B188" s="111"/>
      <c r="C188" s="182"/>
      <c r="D188" s="183"/>
      <c r="E188" s="184"/>
      <c r="F188" s="115"/>
      <c r="G188" s="107"/>
      <c r="H188" s="107"/>
      <c r="I188" s="107"/>
      <c r="J188" s="107"/>
      <c r="K188" s="107"/>
      <c r="L188" s="107"/>
      <c r="M188" s="107"/>
      <c r="N188" s="107"/>
      <c r="O188" s="107"/>
      <c r="P188" s="107"/>
      <c r="Q188" s="107"/>
      <c r="R188" s="107"/>
      <c r="S188" s="107"/>
    </row>
    <row r="189" spans="1:19" s="106" customFormat="1" ht="15" customHeight="1">
      <c r="A189" s="110"/>
      <c r="B189" s="111"/>
      <c r="C189" s="182"/>
      <c r="D189" s="183"/>
      <c r="E189" s="184"/>
      <c r="F189" s="115"/>
      <c r="G189" s="107"/>
      <c r="H189" s="107"/>
      <c r="I189" s="107"/>
      <c r="J189" s="107"/>
      <c r="K189" s="107"/>
      <c r="L189" s="107"/>
      <c r="M189" s="107"/>
      <c r="N189" s="107"/>
      <c r="O189" s="107"/>
      <c r="P189" s="107"/>
      <c r="Q189" s="107"/>
      <c r="R189" s="107"/>
      <c r="S189" s="107"/>
    </row>
    <row r="190" spans="1:19" s="106" customFormat="1" ht="15" customHeight="1">
      <c r="A190" s="110"/>
      <c r="B190" s="111"/>
      <c r="C190" s="182"/>
      <c r="D190" s="183"/>
      <c r="E190" s="184"/>
      <c r="F190" s="115"/>
      <c r="G190" s="107"/>
      <c r="H190" s="107"/>
      <c r="I190" s="107"/>
      <c r="J190" s="107"/>
      <c r="K190" s="107"/>
      <c r="L190" s="107"/>
      <c r="M190" s="107"/>
      <c r="N190" s="107"/>
      <c r="O190" s="107"/>
      <c r="P190" s="107"/>
      <c r="Q190" s="107"/>
      <c r="R190" s="107"/>
      <c r="S190" s="107"/>
    </row>
    <row r="191" spans="1:19" s="106" customFormat="1" ht="15" customHeight="1">
      <c r="A191" s="110"/>
      <c r="B191" s="111"/>
      <c r="C191" s="182"/>
      <c r="D191" s="183"/>
      <c r="E191" s="184"/>
      <c r="F191" s="115"/>
      <c r="G191" s="107"/>
      <c r="H191" s="107"/>
      <c r="I191" s="107"/>
      <c r="J191" s="107"/>
      <c r="K191" s="107"/>
      <c r="L191" s="107"/>
      <c r="M191" s="107"/>
      <c r="N191" s="107"/>
      <c r="O191" s="107"/>
      <c r="P191" s="107"/>
      <c r="Q191" s="107"/>
      <c r="R191" s="107"/>
      <c r="S191" s="107"/>
    </row>
    <row r="192" spans="1:19" s="106" customFormat="1" ht="15" customHeight="1">
      <c r="A192" s="110"/>
      <c r="B192" s="111"/>
      <c r="C192" s="182"/>
      <c r="D192" s="183"/>
      <c r="E192" s="184"/>
      <c r="F192" s="115"/>
      <c r="G192" s="107"/>
      <c r="H192" s="107"/>
      <c r="I192" s="107"/>
      <c r="J192" s="107"/>
      <c r="K192" s="107"/>
      <c r="L192" s="107"/>
      <c r="M192" s="107"/>
      <c r="N192" s="107"/>
      <c r="O192" s="107"/>
      <c r="P192" s="107"/>
      <c r="Q192" s="107"/>
      <c r="R192" s="107"/>
      <c r="S192" s="107"/>
    </row>
    <row r="193" spans="1:19" s="106" customFormat="1" ht="15" customHeight="1">
      <c r="A193" s="110"/>
      <c r="B193" s="111"/>
      <c r="C193" s="182"/>
      <c r="D193" s="183"/>
      <c r="E193" s="184"/>
      <c r="F193" s="115"/>
      <c r="G193" s="107"/>
      <c r="H193" s="107"/>
      <c r="I193" s="107"/>
      <c r="J193" s="107"/>
      <c r="K193" s="107"/>
      <c r="L193" s="107"/>
      <c r="M193" s="107"/>
      <c r="N193" s="107"/>
      <c r="O193" s="107"/>
      <c r="P193" s="107"/>
      <c r="Q193" s="107"/>
      <c r="R193" s="107"/>
      <c r="S193" s="107"/>
    </row>
    <row r="194" spans="1:19" s="106" customFormat="1" ht="15" customHeight="1">
      <c r="A194" s="110"/>
      <c r="B194" s="111"/>
      <c r="C194" s="182"/>
      <c r="D194" s="183"/>
      <c r="E194" s="184"/>
      <c r="F194" s="115"/>
      <c r="G194" s="107"/>
      <c r="H194" s="107"/>
      <c r="I194" s="107"/>
      <c r="J194" s="107"/>
      <c r="K194" s="107"/>
      <c r="L194" s="107"/>
      <c r="M194" s="107"/>
      <c r="N194" s="107"/>
      <c r="O194" s="107"/>
      <c r="P194" s="107"/>
      <c r="Q194" s="107"/>
      <c r="R194" s="107"/>
      <c r="S194" s="107"/>
    </row>
    <row r="195" spans="1:19" s="106" customFormat="1" ht="15" customHeight="1">
      <c r="A195" s="110"/>
      <c r="B195" s="111"/>
      <c r="C195" s="182"/>
      <c r="D195" s="183"/>
      <c r="E195" s="184"/>
      <c r="F195" s="115"/>
      <c r="G195" s="107"/>
      <c r="H195" s="107"/>
      <c r="I195" s="107"/>
      <c r="J195" s="107"/>
      <c r="K195" s="107"/>
      <c r="L195" s="107"/>
      <c r="M195" s="107"/>
      <c r="N195" s="107"/>
      <c r="O195" s="107"/>
      <c r="P195" s="107"/>
      <c r="Q195" s="107"/>
      <c r="R195" s="107"/>
      <c r="S195" s="107"/>
    </row>
    <row r="196" spans="1:19" s="106" customFormat="1" ht="15" customHeight="1">
      <c r="A196" s="110"/>
      <c r="B196" s="111"/>
      <c r="C196" s="182"/>
      <c r="D196" s="183"/>
      <c r="E196" s="184"/>
      <c r="F196" s="115"/>
      <c r="G196" s="107"/>
      <c r="H196" s="107"/>
      <c r="I196" s="107"/>
      <c r="J196" s="107"/>
      <c r="K196" s="107"/>
      <c r="L196" s="107"/>
      <c r="M196" s="107"/>
      <c r="N196" s="107"/>
      <c r="O196" s="107"/>
      <c r="P196" s="107"/>
      <c r="Q196" s="107"/>
      <c r="R196" s="107"/>
      <c r="S196" s="107"/>
    </row>
    <row r="197" spans="1:19" s="106" customFormat="1" ht="15" customHeight="1">
      <c r="A197" s="110"/>
      <c r="B197" s="111"/>
      <c r="C197" s="182"/>
      <c r="D197" s="183"/>
      <c r="E197" s="184"/>
      <c r="F197" s="115"/>
      <c r="G197" s="107"/>
      <c r="H197" s="107"/>
      <c r="I197" s="107"/>
      <c r="J197" s="107"/>
      <c r="K197" s="107"/>
      <c r="L197" s="107"/>
      <c r="M197" s="107"/>
      <c r="N197" s="107"/>
      <c r="O197" s="107"/>
      <c r="P197" s="107"/>
      <c r="Q197" s="107"/>
      <c r="R197" s="107"/>
      <c r="S197" s="107"/>
    </row>
    <row r="198" spans="1:19" s="106" customFormat="1" ht="15" customHeight="1">
      <c r="A198" s="110"/>
      <c r="B198" s="111"/>
      <c r="C198" s="182"/>
      <c r="D198" s="183"/>
      <c r="E198" s="184"/>
      <c r="F198" s="115"/>
      <c r="G198" s="107"/>
      <c r="H198" s="107"/>
      <c r="I198" s="107"/>
      <c r="J198" s="107"/>
      <c r="K198" s="107"/>
      <c r="L198" s="107"/>
      <c r="M198" s="107"/>
      <c r="N198" s="107"/>
      <c r="O198" s="107"/>
      <c r="P198" s="107"/>
      <c r="Q198" s="107"/>
      <c r="R198" s="107"/>
      <c r="S198" s="107"/>
    </row>
    <row r="199" spans="1:19" s="106" customFormat="1" ht="15" customHeight="1">
      <c r="A199" s="110"/>
      <c r="B199" s="111"/>
      <c r="C199" s="182"/>
      <c r="D199" s="183"/>
      <c r="E199" s="184"/>
      <c r="F199" s="115"/>
      <c r="G199" s="107"/>
      <c r="H199" s="107"/>
      <c r="I199" s="107"/>
      <c r="J199" s="107"/>
      <c r="K199" s="107"/>
      <c r="L199" s="107"/>
      <c r="M199" s="107"/>
      <c r="N199" s="107"/>
      <c r="O199" s="107"/>
      <c r="P199" s="107"/>
      <c r="Q199" s="107"/>
      <c r="R199" s="107"/>
      <c r="S199" s="107"/>
    </row>
    <row r="200" spans="1:19" s="106" customFormat="1" ht="15" customHeight="1">
      <c r="A200" s="110"/>
      <c r="B200" s="111"/>
      <c r="C200" s="182"/>
      <c r="D200" s="183"/>
      <c r="E200" s="184"/>
      <c r="F200" s="115"/>
      <c r="G200" s="107"/>
      <c r="H200" s="107"/>
      <c r="I200" s="107"/>
      <c r="J200" s="107"/>
      <c r="K200" s="107"/>
      <c r="L200" s="107"/>
      <c r="M200" s="107"/>
      <c r="N200" s="107"/>
      <c r="O200" s="107"/>
      <c r="P200" s="107"/>
      <c r="Q200" s="107"/>
      <c r="R200" s="107"/>
      <c r="S200" s="107"/>
    </row>
    <row r="201" spans="1:19" s="106" customFormat="1" ht="15" customHeight="1">
      <c r="A201" s="110"/>
      <c r="B201" s="111"/>
      <c r="C201" s="182"/>
      <c r="D201" s="183"/>
      <c r="E201" s="184"/>
      <c r="F201" s="115"/>
      <c r="G201" s="107"/>
      <c r="H201" s="107"/>
      <c r="I201" s="107"/>
      <c r="J201" s="107"/>
      <c r="K201" s="107"/>
      <c r="L201" s="107"/>
      <c r="M201" s="107"/>
      <c r="N201" s="107"/>
      <c r="O201" s="107"/>
      <c r="P201" s="107"/>
      <c r="Q201" s="107"/>
      <c r="R201" s="107"/>
      <c r="S201" s="107"/>
    </row>
    <row r="202" spans="1:19" s="106" customFormat="1" ht="15" customHeight="1">
      <c r="A202" s="110"/>
      <c r="B202" s="111"/>
      <c r="C202" s="182"/>
      <c r="D202" s="183"/>
      <c r="E202" s="184"/>
      <c r="F202" s="115"/>
      <c r="G202" s="107"/>
      <c r="H202" s="107"/>
      <c r="I202" s="107"/>
      <c r="J202" s="107"/>
      <c r="K202" s="107"/>
      <c r="L202" s="107"/>
      <c r="M202" s="107"/>
      <c r="N202" s="107"/>
      <c r="O202" s="107"/>
      <c r="P202" s="107"/>
      <c r="Q202" s="107"/>
      <c r="R202" s="107"/>
      <c r="S202" s="107"/>
    </row>
    <row r="203" spans="1:19" s="106" customFormat="1" ht="15" customHeight="1">
      <c r="A203" s="110"/>
      <c r="B203" s="111"/>
      <c r="C203" s="182"/>
      <c r="D203" s="183"/>
      <c r="E203" s="184"/>
      <c r="F203" s="115"/>
      <c r="G203" s="107"/>
      <c r="H203" s="107"/>
      <c r="I203" s="107"/>
      <c r="J203" s="107"/>
      <c r="K203" s="107"/>
      <c r="L203" s="107"/>
      <c r="M203" s="107"/>
      <c r="N203" s="107"/>
      <c r="O203" s="107"/>
      <c r="P203" s="107"/>
      <c r="Q203" s="107"/>
      <c r="R203" s="107"/>
      <c r="S203" s="107"/>
    </row>
    <row r="204" spans="1:19" s="106" customFormat="1" ht="15" customHeight="1">
      <c r="A204" s="110"/>
      <c r="B204" s="111"/>
      <c r="C204" s="182"/>
      <c r="D204" s="183"/>
      <c r="E204" s="184"/>
      <c r="F204" s="115"/>
      <c r="G204" s="107"/>
      <c r="H204" s="107"/>
      <c r="I204" s="107"/>
      <c r="J204" s="107"/>
      <c r="K204" s="107"/>
      <c r="L204" s="107"/>
      <c r="M204" s="107"/>
      <c r="N204" s="107"/>
      <c r="O204" s="107"/>
      <c r="P204" s="107"/>
      <c r="Q204" s="107"/>
      <c r="R204" s="107"/>
      <c r="S204" s="107"/>
    </row>
    <row r="205" spans="1:19" s="106" customFormat="1" ht="15" customHeight="1">
      <c r="A205" s="110"/>
      <c r="B205" s="111"/>
      <c r="C205" s="182"/>
      <c r="D205" s="183"/>
      <c r="E205" s="184"/>
      <c r="F205" s="115"/>
      <c r="G205" s="107"/>
      <c r="H205" s="107"/>
      <c r="I205" s="107"/>
      <c r="J205" s="107"/>
      <c r="K205" s="107"/>
      <c r="L205" s="107"/>
      <c r="M205" s="107"/>
      <c r="N205" s="107"/>
      <c r="O205" s="107"/>
      <c r="P205" s="107"/>
      <c r="Q205" s="107"/>
      <c r="R205" s="107"/>
      <c r="S205" s="107"/>
    </row>
    <row r="206" spans="1:19" s="106" customFormat="1" ht="15" customHeight="1">
      <c r="A206" s="110"/>
      <c r="B206" s="111"/>
      <c r="C206" s="182"/>
      <c r="D206" s="183"/>
      <c r="E206" s="184"/>
      <c r="F206" s="115"/>
      <c r="G206" s="107"/>
      <c r="H206" s="107"/>
      <c r="I206" s="107"/>
      <c r="J206" s="107"/>
      <c r="K206" s="107"/>
      <c r="L206" s="107"/>
      <c r="M206" s="107"/>
      <c r="N206" s="107"/>
      <c r="O206" s="107"/>
      <c r="P206" s="107"/>
      <c r="Q206" s="107"/>
      <c r="R206" s="107"/>
      <c r="S206" s="107"/>
    </row>
    <row r="207" spans="1:19" s="106" customFormat="1" ht="15" customHeight="1">
      <c r="A207" s="110"/>
      <c r="B207" s="111"/>
      <c r="C207" s="182"/>
      <c r="D207" s="183"/>
      <c r="E207" s="184"/>
      <c r="F207" s="115"/>
      <c r="G207" s="107"/>
      <c r="H207" s="107"/>
      <c r="I207" s="107"/>
      <c r="J207" s="107"/>
      <c r="K207" s="107"/>
      <c r="L207" s="107"/>
      <c r="M207" s="107"/>
      <c r="N207" s="107"/>
      <c r="O207" s="107"/>
      <c r="P207" s="107"/>
      <c r="Q207" s="107"/>
      <c r="R207" s="107"/>
      <c r="S207" s="107"/>
    </row>
    <row r="208" spans="1:19" s="106" customFormat="1" ht="15" customHeight="1">
      <c r="A208" s="110"/>
      <c r="B208" s="111"/>
      <c r="C208" s="182"/>
      <c r="D208" s="183"/>
      <c r="E208" s="184"/>
      <c r="F208" s="115"/>
      <c r="G208" s="107"/>
      <c r="H208" s="107"/>
      <c r="I208" s="107"/>
      <c r="J208" s="107"/>
      <c r="K208" s="107"/>
      <c r="L208" s="107"/>
      <c r="M208" s="107"/>
      <c r="N208" s="107"/>
      <c r="O208" s="107"/>
      <c r="P208" s="107"/>
      <c r="Q208" s="107"/>
      <c r="R208" s="107"/>
      <c r="S208" s="107"/>
    </row>
    <row r="209" spans="1:19" s="106" customFormat="1" ht="15" customHeight="1">
      <c r="A209" s="110"/>
      <c r="B209" s="111"/>
      <c r="C209" s="182"/>
      <c r="D209" s="183"/>
      <c r="E209" s="184"/>
      <c r="F209" s="115"/>
      <c r="G209" s="107"/>
      <c r="H209" s="107"/>
      <c r="I209" s="107"/>
      <c r="J209" s="107"/>
      <c r="K209" s="107"/>
      <c r="L209" s="107"/>
      <c r="M209" s="107"/>
      <c r="N209" s="107"/>
      <c r="O209" s="107"/>
      <c r="P209" s="107"/>
      <c r="Q209" s="107"/>
      <c r="R209" s="107"/>
      <c r="S209" s="107"/>
    </row>
    <row r="210" spans="1:19" s="106" customFormat="1" ht="15" customHeight="1">
      <c r="A210" s="110"/>
      <c r="B210" s="111"/>
      <c r="C210" s="182"/>
      <c r="D210" s="183"/>
      <c r="E210" s="184"/>
      <c r="F210" s="115"/>
      <c r="G210" s="107"/>
      <c r="H210" s="107"/>
      <c r="I210" s="107"/>
      <c r="J210" s="107"/>
      <c r="K210" s="107"/>
      <c r="L210" s="107"/>
      <c r="M210" s="107"/>
      <c r="N210" s="107"/>
      <c r="O210" s="107"/>
      <c r="P210" s="107"/>
      <c r="Q210" s="107"/>
      <c r="R210" s="107"/>
      <c r="S210" s="107"/>
    </row>
    <row r="211" spans="1:19" s="106" customFormat="1" ht="15" customHeight="1">
      <c r="A211" s="110"/>
      <c r="B211" s="111"/>
      <c r="C211" s="182"/>
      <c r="D211" s="183"/>
      <c r="E211" s="184"/>
      <c r="F211" s="115"/>
      <c r="G211" s="107"/>
      <c r="H211" s="107"/>
      <c r="I211" s="107"/>
      <c r="J211" s="107"/>
      <c r="K211" s="107"/>
      <c r="L211" s="107"/>
      <c r="M211" s="107"/>
      <c r="N211" s="107"/>
      <c r="O211" s="107"/>
      <c r="P211" s="107"/>
      <c r="Q211" s="107"/>
      <c r="R211" s="107"/>
      <c r="S211" s="107"/>
    </row>
    <row r="212" spans="1:19" s="106" customFormat="1" ht="15" customHeight="1">
      <c r="A212" s="110"/>
      <c r="B212" s="111"/>
      <c r="C212" s="182"/>
      <c r="D212" s="183"/>
      <c r="E212" s="184"/>
      <c r="F212" s="115"/>
      <c r="G212" s="107"/>
      <c r="H212" s="107"/>
      <c r="I212" s="107"/>
      <c r="J212" s="107"/>
      <c r="K212" s="107"/>
      <c r="L212" s="107"/>
      <c r="M212" s="107"/>
      <c r="N212" s="107"/>
      <c r="O212" s="107"/>
      <c r="P212" s="107"/>
      <c r="Q212" s="107"/>
      <c r="R212" s="107"/>
      <c r="S212" s="107"/>
    </row>
    <row r="213" spans="1:19" s="106" customFormat="1" ht="15" customHeight="1">
      <c r="A213" s="110"/>
      <c r="B213" s="111"/>
      <c r="C213" s="182"/>
      <c r="D213" s="183"/>
      <c r="E213" s="184"/>
      <c r="F213" s="115"/>
      <c r="G213" s="107"/>
      <c r="H213" s="107"/>
      <c r="I213" s="107"/>
      <c r="J213" s="107"/>
      <c r="K213" s="107"/>
      <c r="L213" s="107"/>
      <c r="M213" s="107"/>
      <c r="N213" s="107"/>
      <c r="O213" s="107"/>
      <c r="P213" s="107"/>
      <c r="Q213" s="107"/>
      <c r="R213" s="107"/>
      <c r="S213" s="107"/>
    </row>
    <row r="214" spans="1:19" s="106" customFormat="1" ht="15" customHeight="1">
      <c r="A214" s="110"/>
      <c r="B214" s="111"/>
      <c r="C214" s="182"/>
      <c r="D214" s="183"/>
      <c r="E214" s="184"/>
      <c r="F214" s="115"/>
      <c r="G214" s="107"/>
      <c r="H214" s="107"/>
      <c r="I214" s="107"/>
      <c r="J214" s="107"/>
      <c r="K214" s="107"/>
      <c r="L214" s="107"/>
      <c r="M214" s="107"/>
      <c r="N214" s="107"/>
      <c r="O214" s="107"/>
      <c r="P214" s="107"/>
      <c r="Q214" s="107"/>
      <c r="R214" s="107"/>
      <c r="S214" s="107"/>
    </row>
    <row r="215" spans="1:19" s="106" customFormat="1" ht="15" customHeight="1">
      <c r="A215" s="110"/>
      <c r="B215" s="111"/>
      <c r="C215" s="182"/>
      <c r="D215" s="183"/>
      <c r="E215" s="184"/>
      <c r="F215" s="115"/>
      <c r="G215" s="107"/>
      <c r="H215" s="107"/>
      <c r="I215" s="107"/>
      <c r="J215" s="107"/>
      <c r="K215" s="107"/>
      <c r="L215" s="107"/>
      <c r="M215" s="107"/>
      <c r="N215" s="107"/>
      <c r="O215" s="107"/>
      <c r="P215" s="107"/>
      <c r="Q215" s="107"/>
      <c r="R215" s="107"/>
      <c r="S215" s="107"/>
    </row>
    <row r="216" spans="1:19" s="106" customFormat="1" ht="15" customHeight="1">
      <c r="A216" s="110"/>
      <c r="B216" s="111"/>
      <c r="C216" s="182"/>
      <c r="D216" s="183"/>
      <c r="E216" s="184"/>
      <c r="F216" s="115"/>
      <c r="G216" s="107"/>
      <c r="H216" s="107"/>
      <c r="I216" s="107"/>
      <c r="J216" s="107"/>
      <c r="K216" s="107"/>
      <c r="L216" s="107"/>
      <c r="M216" s="107"/>
      <c r="N216" s="107"/>
      <c r="O216" s="107"/>
      <c r="P216" s="107"/>
      <c r="Q216" s="107"/>
      <c r="R216" s="107"/>
      <c r="S216" s="107"/>
    </row>
    <row r="217" spans="1:19" s="106" customFormat="1" ht="15" customHeight="1">
      <c r="A217" s="110"/>
      <c r="B217" s="111"/>
      <c r="C217" s="182"/>
      <c r="D217" s="183"/>
      <c r="E217" s="184"/>
      <c r="F217" s="115"/>
      <c r="G217" s="107"/>
      <c r="H217" s="107"/>
      <c r="I217" s="107"/>
      <c r="J217" s="107"/>
      <c r="K217" s="107"/>
      <c r="L217" s="107"/>
      <c r="M217" s="107"/>
      <c r="N217" s="107"/>
      <c r="O217" s="107"/>
      <c r="P217" s="107"/>
      <c r="Q217" s="107"/>
      <c r="R217" s="107"/>
      <c r="S217" s="107"/>
    </row>
    <row r="218" spans="1:19" s="106" customFormat="1" ht="15" customHeight="1">
      <c r="A218" s="110"/>
      <c r="B218" s="111"/>
      <c r="C218" s="182"/>
      <c r="D218" s="183"/>
      <c r="E218" s="184"/>
      <c r="F218" s="115"/>
      <c r="G218" s="107"/>
      <c r="H218" s="107"/>
      <c r="I218" s="107"/>
      <c r="J218" s="107"/>
      <c r="K218" s="107"/>
      <c r="L218" s="107"/>
      <c r="M218" s="107"/>
      <c r="N218" s="107"/>
      <c r="O218" s="107"/>
      <c r="P218" s="107"/>
      <c r="Q218" s="107"/>
      <c r="R218" s="107"/>
      <c r="S218" s="107"/>
    </row>
    <row r="219" spans="1:19" s="106" customFormat="1" ht="15" customHeight="1">
      <c r="A219" s="110"/>
      <c r="B219" s="111"/>
      <c r="C219" s="182"/>
      <c r="D219" s="183"/>
      <c r="E219" s="184"/>
      <c r="F219" s="115"/>
      <c r="G219" s="107"/>
      <c r="H219" s="107"/>
      <c r="I219" s="107"/>
      <c r="J219" s="107"/>
      <c r="K219" s="107"/>
      <c r="L219" s="107"/>
      <c r="M219" s="107"/>
      <c r="N219" s="107"/>
      <c r="O219" s="107"/>
      <c r="P219" s="107"/>
      <c r="Q219" s="107"/>
      <c r="R219" s="107"/>
      <c r="S219" s="107"/>
    </row>
    <row r="220" spans="1:19" s="106" customFormat="1" ht="15" customHeight="1">
      <c r="A220" s="110"/>
      <c r="B220" s="111"/>
      <c r="C220" s="182"/>
      <c r="D220" s="183"/>
      <c r="E220" s="184"/>
      <c r="F220" s="115"/>
      <c r="G220" s="107"/>
      <c r="H220" s="107"/>
      <c r="I220" s="107"/>
      <c r="J220" s="107"/>
      <c r="K220" s="107"/>
      <c r="L220" s="107"/>
      <c r="M220" s="107"/>
      <c r="N220" s="107"/>
      <c r="O220" s="107"/>
      <c r="P220" s="107"/>
      <c r="Q220" s="107"/>
      <c r="R220" s="107"/>
      <c r="S220" s="107"/>
    </row>
    <row r="221" spans="1:19" s="106" customFormat="1" ht="15" customHeight="1">
      <c r="A221" s="110"/>
      <c r="B221" s="111"/>
      <c r="C221" s="182"/>
      <c r="D221" s="183"/>
      <c r="E221" s="184"/>
      <c r="F221" s="115"/>
      <c r="G221" s="107"/>
      <c r="H221" s="107"/>
      <c r="I221" s="107"/>
      <c r="J221" s="107"/>
      <c r="K221" s="107"/>
      <c r="L221" s="107"/>
      <c r="M221" s="107"/>
      <c r="N221" s="107"/>
      <c r="O221" s="107"/>
      <c r="P221" s="107"/>
      <c r="Q221" s="107"/>
      <c r="R221" s="107"/>
      <c r="S221" s="107"/>
    </row>
    <row r="222" spans="1:19" s="106" customFormat="1" ht="15" customHeight="1">
      <c r="A222" s="110"/>
      <c r="B222" s="111"/>
      <c r="C222" s="182"/>
      <c r="D222" s="183"/>
      <c r="E222" s="184"/>
      <c r="F222" s="115"/>
      <c r="G222" s="107"/>
      <c r="H222" s="107"/>
      <c r="I222" s="107"/>
      <c r="J222" s="107"/>
      <c r="K222" s="107"/>
      <c r="L222" s="107"/>
      <c r="M222" s="107"/>
      <c r="N222" s="107"/>
      <c r="O222" s="107"/>
      <c r="P222" s="107"/>
      <c r="Q222" s="107"/>
      <c r="R222" s="107"/>
      <c r="S222" s="107"/>
    </row>
    <row r="223" spans="1:19" s="106" customFormat="1" ht="15" customHeight="1">
      <c r="A223" s="110"/>
      <c r="B223" s="111"/>
      <c r="C223" s="182"/>
      <c r="D223" s="183"/>
      <c r="E223" s="184"/>
      <c r="F223" s="115"/>
      <c r="G223" s="107"/>
      <c r="H223" s="107"/>
      <c r="I223" s="107"/>
      <c r="J223" s="107"/>
      <c r="K223" s="107"/>
      <c r="L223" s="107"/>
      <c r="M223" s="107"/>
      <c r="N223" s="107"/>
      <c r="O223" s="107"/>
      <c r="P223" s="107"/>
      <c r="Q223" s="107"/>
      <c r="R223" s="107"/>
      <c r="S223" s="107"/>
    </row>
    <row r="224" spans="1:19" s="106" customFormat="1" ht="15" customHeight="1">
      <c r="A224" s="110"/>
      <c r="B224" s="111"/>
      <c r="C224" s="182"/>
      <c r="D224" s="183"/>
      <c r="E224" s="184"/>
      <c r="F224" s="115"/>
      <c r="G224" s="107"/>
      <c r="H224" s="107"/>
      <c r="I224" s="107"/>
      <c r="J224" s="107"/>
      <c r="K224" s="107"/>
      <c r="L224" s="107"/>
      <c r="M224" s="107"/>
      <c r="N224" s="107"/>
      <c r="O224" s="107"/>
      <c r="P224" s="107"/>
      <c r="Q224" s="107"/>
      <c r="R224" s="107"/>
      <c r="S224" s="107"/>
    </row>
    <row r="225" spans="1:19" s="106" customFormat="1" ht="15" customHeight="1">
      <c r="A225" s="110"/>
      <c r="B225" s="111"/>
      <c r="C225" s="182"/>
      <c r="D225" s="183"/>
      <c r="E225" s="184"/>
      <c r="F225" s="115"/>
      <c r="G225" s="107"/>
      <c r="H225" s="107"/>
      <c r="I225" s="107"/>
      <c r="J225" s="107"/>
      <c r="K225" s="107"/>
      <c r="L225" s="107"/>
      <c r="M225" s="107"/>
      <c r="N225" s="107"/>
      <c r="O225" s="107"/>
      <c r="P225" s="107"/>
      <c r="Q225" s="107"/>
      <c r="R225" s="107"/>
      <c r="S225" s="107"/>
    </row>
    <row r="226" spans="1:19" s="106" customFormat="1" ht="15" customHeight="1">
      <c r="A226" s="110"/>
      <c r="B226" s="111"/>
      <c r="C226" s="182"/>
      <c r="D226" s="183"/>
      <c r="E226" s="184"/>
      <c r="F226" s="115"/>
      <c r="G226" s="107"/>
      <c r="H226" s="107"/>
      <c r="I226" s="107"/>
      <c r="J226" s="107"/>
      <c r="K226" s="107"/>
      <c r="L226" s="107"/>
      <c r="M226" s="107"/>
      <c r="N226" s="107"/>
      <c r="O226" s="107"/>
      <c r="P226" s="107"/>
      <c r="Q226" s="107"/>
      <c r="R226" s="107"/>
      <c r="S226" s="107"/>
    </row>
    <row r="227" spans="1:19" s="106" customFormat="1" ht="15" customHeight="1">
      <c r="A227" s="110"/>
      <c r="B227" s="111"/>
      <c r="C227" s="182"/>
      <c r="D227" s="183"/>
      <c r="E227" s="184"/>
      <c r="F227" s="115"/>
      <c r="G227" s="107"/>
      <c r="H227" s="107"/>
      <c r="I227" s="107"/>
      <c r="J227" s="107"/>
      <c r="K227" s="107"/>
      <c r="L227" s="107"/>
      <c r="M227" s="107"/>
      <c r="N227" s="107"/>
      <c r="O227" s="107"/>
      <c r="P227" s="107"/>
      <c r="Q227" s="107"/>
      <c r="R227" s="107"/>
      <c r="S227" s="107"/>
    </row>
    <row r="228" spans="1:19" s="106" customFormat="1" ht="15" customHeight="1">
      <c r="A228" s="110"/>
      <c r="B228" s="111"/>
      <c r="C228" s="182"/>
      <c r="D228" s="183"/>
      <c r="E228" s="184"/>
      <c r="F228" s="115"/>
      <c r="G228" s="107"/>
      <c r="H228" s="107"/>
      <c r="I228" s="107"/>
      <c r="J228" s="107"/>
      <c r="K228" s="107"/>
      <c r="L228" s="107"/>
      <c r="M228" s="107"/>
      <c r="N228" s="107"/>
      <c r="O228" s="107"/>
      <c r="P228" s="107"/>
      <c r="Q228" s="107"/>
      <c r="R228" s="107"/>
      <c r="S228" s="107"/>
    </row>
    <row r="229" spans="1:19" s="106" customFormat="1" ht="15" customHeight="1">
      <c r="A229" s="110"/>
      <c r="B229" s="111"/>
      <c r="C229" s="182"/>
      <c r="D229" s="183"/>
      <c r="E229" s="184"/>
      <c r="F229" s="115"/>
      <c r="G229" s="107"/>
      <c r="H229" s="107"/>
      <c r="I229" s="107"/>
      <c r="J229" s="107"/>
      <c r="K229" s="107"/>
      <c r="L229" s="107"/>
      <c r="M229" s="107"/>
      <c r="N229" s="107"/>
      <c r="O229" s="107"/>
      <c r="P229" s="107"/>
      <c r="Q229" s="107"/>
      <c r="R229" s="107"/>
      <c r="S229" s="107"/>
    </row>
    <row r="230" spans="1:19" s="106" customFormat="1" ht="15" customHeight="1">
      <c r="A230" s="110"/>
      <c r="B230" s="111"/>
      <c r="C230" s="182"/>
      <c r="D230" s="183"/>
      <c r="E230" s="184"/>
      <c r="F230" s="115"/>
      <c r="G230" s="107"/>
      <c r="H230" s="107"/>
      <c r="I230" s="107"/>
      <c r="J230" s="107"/>
      <c r="K230" s="107"/>
      <c r="L230" s="107"/>
      <c r="M230" s="107"/>
      <c r="N230" s="107"/>
      <c r="O230" s="107"/>
      <c r="P230" s="107"/>
      <c r="Q230" s="107"/>
      <c r="R230" s="107"/>
      <c r="S230" s="107"/>
    </row>
    <row r="231" spans="1:19" s="106" customFormat="1" ht="15" customHeight="1">
      <c r="A231" s="110"/>
      <c r="B231" s="111"/>
      <c r="C231" s="182"/>
      <c r="D231" s="183"/>
      <c r="E231" s="184"/>
      <c r="F231" s="115"/>
      <c r="G231" s="107"/>
      <c r="H231" s="107"/>
      <c r="I231" s="107"/>
      <c r="J231" s="107"/>
      <c r="K231" s="107"/>
      <c r="L231" s="107"/>
      <c r="M231" s="107"/>
      <c r="N231" s="107"/>
      <c r="O231" s="107"/>
      <c r="P231" s="107"/>
      <c r="Q231" s="107"/>
      <c r="R231" s="107"/>
      <c r="S231" s="107"/>
    </row>
    <row r="232" spans="1:19" s="106" customFormat="1" ht="15" customHeight="1">
      <c r="A232" s="110"/>
      <c r="B232" s="111"/>
      <c r="C232" s="182"/>
      <c r="D232" s="183"/>
      <c r="E232" s="184"/>
      <c r="F232" s="115"/>
      <c r="G232" s="107"/>
      <c r="H232" s="107"/>
      <c r="I232" s="107"/>
      <c r="J232" s="107"/>
      <c r="K232" s="107"/>
      <c r="L232" s="107"/>
      <c r="M232" s="107"/>
      <c r="N232" s="107"/>
      <c r="O232" s="107"/>
      <c r="P232" s="107"/>
      <c r="Q232" s="107"/>
      <c r="R232" s="107"/>
      <c r="S232" s="107"/>
    </row>
    <row r="233" spans="1:19" s="106" customFormat="1" ht="15" customHeight="1">
      <c r="A233" s="110"/>
      <c r="B233" s="111"/>
      <c r="C233" s="182"/>
      <c r="D233" s="183"/>
      <c r="E233" s="184"/>
      <c r="F233" s="115"/>
      <c r="G233" s="107"/>
      <c r="H233" s="107"/>
      <c r="I233" s="107"/>
      <c r="J233" s="107"/>
      <c r="K233" s="107"/>
      <c r="L233" s="107"/>
      <c r="M233" s="107"/>
      <c r="N233" s="107"/>
      <c r="O233" s="107"/>
      <c r="P233" s="107"/>
      <c r="Q233" s="107"/>
      <c r="R233" s="107"/>
      <c r="S233" s="107"/>
    </row>
    <row r="234" spans="1:19" s="106" customFormat="1" ht="15" customHeight="1">
      <c r="A234" s="110"/>
      <c r="B234" s="111"/>
      <c r="C234" s="182"/>
      <c r="D234" s="183"/>
      <c r="E234" s="184"/>
      <c r="F234" s="115"/>
      <c r="G234" s="107"/>
      <c r="H234" s="107"/>
      <c r="I234" s="107"/>
      <c r="J234" s="107"/>
      <c r="K234" s="107"/>
      <c r="L234" s="107"/>
      <c r="M234" s="107"/>
      <c r="N234" s="107"/>
      <c r="O234" s="107"/>
      <c r="P234" s="107"/>
      <c r="Q234" s="107"/>
      <c r="R234" s="107"/>
      <c r="S234" s="107"/>
    </row>
    <row r="235" spans="1:19" s="106" customFormat="1" ht="15" customHeight="1">
      <c r="A235" s="110"/>
      <c r="B235" s="111"/>
      <c r="C235" s="182"/>
      <c r="D235" s="183"/>
      <c r="E235" s="184"/>
      <c r="F235" s="115"/>
      <c r="G235" s="107"/>
      <c r="H235" s="107"/>
      <c r="I235" s="107"/>
      <c r="J235" s="107"/>
      <c r="K235" s="107"/>
      <c r="L235" s="107"/>
      <c r="M235" s="107"/>
      <c r="N235" s="107"/>
      <c r="O235" s="107"/>
      <c r="P235" s="107"/>
      <c r="Q235" s="107"/>
      <c r="R235" s="107"/>
      <c r="S235" s="107"/>
    </row>
    <row r="236" spans="1:19" s="106" customFormat="1" ht="15" customHeight="1">
      <c r="A236" s="110"/>
      <c r="B236" s="111"/>
      <c r="C236" s="182"/>
      <c r="D236" s="183"/>
      <c r="E236" s="184"/>
      <c r="F236" s="115"/>
      <c r="G236" s="107"/>
      <c r="H236" s="107"/>
      <c r="I236" s="107"/>
      <c r="J236" s="107"/>
      <c r="K236" s="107"/>
      <c r="L236" s="107"/>
      <c r="M236" s="107"/>
      <c r="N236" s="107"/>
      <c r="O236" s="107"/>
      <c r="P236" s="107"/>
      <c r="Q236" s="107"/>
      <c r="R236" s="107"/>
      <c r="S236" s="107"/>
    </row>
    <row r="237" spans="1:19" s="106" customFormat="1" ht="15" customHeight="1">
      <c r="A237" s="110"/>
      <c r="B237" s="111"/>
      <c r="C237" s="182"/>
      <c r="D237" s="183"/>
      <c r="E237" s="184"/>
      <c r="F237" s="115"/>
      <c r="G237" s="107"/>
      <c r="H237" s="107"/>
      <c r="I237" s="107"/>
      <c r="J237" s="107"/>
      <c r="K237" s="107"/>
      <c r="L237" s="107"/>
      <c r="M237" s="107"/>
      <c r="N237" s="107"/>
      <c r="O237" s="107"/>
      <c r="P237" s="107"/>
      <c r="Q237" s="107"/>
      <c r="R237" s="107"/>
      <c r="S237" s="107"/>
    </row>
    <row r="238" spans="1:19" s="106" customFormat="1" ht="15" customHeight="1">
      <c r="A238" s="110"/>
      <c r="B238" s="111"/>
      <c r="C238" s="182"/>
      <c r="D238" s="183"/>
      <c r="E238" s="184"/>
      <c r="F238" s="115"/>
      <c r="G238" s="107"/>
      <c r="H238" s="107"/>
      <c r="I238" s="107"/>
      <c r="J238" s="107"/>
      <c r="K238" s="107"/>
      <c r="L238" s="107"/>
      <c r="M238" s="107"/>
      <c r="N238" s="107"/>
      <c r="O238" s="107"/>
      <c r="P238" s="107"/>
      <c r="Q238" s="107"/>
      <c r="R238" s="107"/>
      <c r="S238" s="107"/>
    </row>
    <row r="239" spans="1:19" s="106" customFormat="1" ht="15" customHeight="1">
      <c r="A239" s="110"/>
      <c r="B239" s="111"/>
      <c r="C239" s="182"/>
      <c r="D239" s="183"/>
      <c r="E239" s="184"/>
      <c r="F239" s="115"/>
      <c r="G239" s="107"/>
      <c r="H239" s="107"/>
      <c r="I239" s="107"/>
      <c r="J239" s="107"/>
      <c r="K239" s="107"/>
      <c r="L239" s="107"/>
      <c r="M239" s="107"/>
      <c r="N239" s="107"/>
      <c r="O239" s="107"/>
      <c r="P239" s="107"/>
      <c r="Q239" s="107"/>
      <c r="R239" s="107"/>
      <c r="S239" s="107"/>
    </row>
    <row r="240" spans="1:19" s="106" customFormat="1" ht="15" customHeight="1">
      <c r="A240" s="110"/>
      <c r="B240" s="111"/>
      <c r="C240" s="182"/>
      <c r="D240" s="183"/>
      <c r="E240" s="184"/>
      <c r="F240" s="115"/>
      <c r="G240" s="107"/>
      <c r="H240" s="107"/>
      <c r="I240" s="107"/>
      <c r="J240" s="107"/>
      <c r="K240" s="107"/>
      <c r="L240" s="107"/>
      <c r="M240" s="107"/>
      <c r="N240" s="107"/>
      <c r="O240" s="107"/>
      <c r="P240" s="107"/>
      <c r="Q240" s="107"/>
      <c r="R240" s="107"/>
      <c r="S240" s="107"/>
    </row>
    <row r="241" spans="1:19" s="106" customFormat="1" ht="15" customHeight="1">
      <c r="A241" s="110"/>
      <c r="B241" s="111"/>
      <c r="C241" s="182"/>
      <c r="D241" s="183"/>
      <c r="E241" s="184"/>
      <c r="F241" s="115"/>
      <c r="G241" s="107"/>
      <c r="H241" s="107"/>
      <c r="I241" s="107"/>
      <c r="J241" s="107"/>
      <c r="K241" s="107"/>
      <c r="L241" s="107"/>
      <c r="M241" s="107"/>
      <c r="N241" s="107"/>
      <c r="O241" s="107"/>
      <c r="P241" s="107"/>
      <c r="Q241" s="107"/>
      <c r="R241" s="107"/>
      <c r="S241" s="107"/>
    </row>
    <row r="242" spans="1:19" s="106" customFormat="1" ht="15" customHeight="1">
      <c r="A242" s="110"/>
      <c r="B242" s="111"/>
      <c r="C242" s="182"/>
      <c r="D242" s="183"/>
      <c r="E242" s="184"/>
      <c r="F242" s="115"/>
      <c r="G242" s="107"/>
      <c r="H242" s="107"/>
      <c r="I242" s="107"/>
      <c r="J242" s="107"/>
      <c r="K242" s="107"/>
      <c r="L242" s="107"/>
      <c r="M242" s="107"/>
      <c r="N242" s="107"/>
      <c r="O242" s="107"/>
      <c r="P242" s="107"/>
      <c r="Q242" s="107"/>
      <c r="R242" s="107"/>
      <c r="S242" s="107"/>
    </row>
    <row r="243" spans="1:19" s="106" customFormat="1" ht="15" customHeight="1">
      <c r="A243" s="110"/>
      <c r="B243" s="111"/>
      <c r="C243" s="182"/>
      <c r="D243" s="183"/>
      <c r="E243" s="184"/>
      <c r="F243" s="115"/>
      <c r="G243" s="107"/>
      <c r="H243" s="107"/>
      <c r="I243" s="107"/>
      <c r="J243" s="107"/>
      <c r="K243" s="107"/>
      <c r="L243" s="107"/>
      <c r="M243" s="107"/>
      <c r="N243" s="107"/>
      <c r="O243" s="107"/>
      <c r="P243" s="107"/>
      <c r="Q243" s="107"/>
      <c r="R243" s="107"/>
      <c r="S243" s="107"/>
    </row>
    <row r="244" spans="1:19" s="106" customFormat="1" ht="15" customHeight="1">
      <c r="A244" s="110"/>
      <c r="B244" s="111"/>
      <c r="C244" s="182"/>
      <c r="D244" s="183"/>
      <c r="E244" s="184"/>
      <c r="F244" s="115"/>
      <c r="G244" s="107"/>
      <c r="H244" s="107"/>
      <c r="I244" s="107"/>
      <c r="J244" s="107"/>
      <c r="K244" s="107"/>
      <c r="L244" s="107"/>
      <c r="M244" s="107"/>
      <c r="N244" s="107"/>
      <c r="O244" s="107"/>
      <c r="P244" s="107"/>
      <c r="Q244" s="107"/>
      <c r="R244" s="107"/>
      <c r="S244" s="107"/>
    </row>
    <row r="245" spans="1:19" s="106" customFormat="1" ht="15" customHeight="1">
      <c r="A245" s="110"/>
      <c r="B245" s="111"/>
      <c r="C245" s="182"/>
      <c r="D245" s="183"/>
      <c r="E245" s="184"/>
      <c r="F245" s="115"/>
      <c r="G245" s="107"/>
      <c r="H245" s="107"/>
      <c r="I245" s="107"/>
      <c r="J245" s="107"/>
      <c r="K245" s="107"/>
      <c r="L245" s="107"/>
      <c r="M245" s="107"/>
      <c r="N245" s="107"/>
      <c r="O245" s="107"/>
      <c r="P245" s="107"/>
      <c r="Q245" s="107"/>
      <c r="R245" s="107"/>
      <c r="S245" s="107"/>
    </row>
    <row r="246" spans="1:19" s="106" customFormat="1" ht="15" customHeight="1">
      <c r="A246" s="110"/>
      <c r="B246" s="111"/>
      <c r="C246" s="182"/>
      <c r="D246" s="183"/>
      <c r="E246" s="184"/>
      <c r="F246" s="115"/>
      <c r="G246" s="107"/>
      <c r="H246" s="107"/>
      <c r="I246" s="107"/>
      <c r="J246" s="107"/>
      <c r="K246" s="107"/>
      <c r="L246" s="107"/>
      <c r="M246" s="107"/>
      <c r="N246" s="107"/>
      <c r="O246" s="107"/>
      <c r="P246" s="107"/>
      <c r="Q246" s="107"/>
      <c r="R246" s="107"/>
      <c r="S246" s="107"/>
    </row>
    <row r="247" spans="1:19" s="106" customFormat="1" ht="15" customHeight="1">
      <c r="A247" s="110"/>
      <c r="B247" s="111"/>
      <c r="C247" s="182"/>
      <c r="D247" s="183"/>
      <c r="E247" s="184"/>
      <c r="F247" s="115"/>
      <c r="G247" s="107"/>
      <c r="H247" s="107"/>
      <c r="I247" s="107"/>
      <c r="J247" s="107"/>
      <c r="K247" s="107"/>
      <c r="L247" s="107"/>
      <c r="M247" s="107"/>
      <c r="N247" s="107"/>
      <c r="O247" s="107"/>
      <c r="P247" s="107"/>
      <c r="Q247" s="107"/>
      <c r="R247" s="107"/>
      <c r="S247" s="107"/>
    </row>
    <row r="248" spans="1:19" s="106" customFormat="1" ht="15" customHeight="1">
      <c r="A248" s="110"/>
      <c r="B248" s="111"/>
      <c r="C248" s="182"/>
      <c r="D248" s="183"/>
      <c r="E248" s="184"/>
      <c r="F248" s="115"/>
      <c r="G248" s="107"/>
      <c r="H248" s="107"/>
      <c r="I248" s="107"/>
      <c r="J248" s="107"/>
      <c r="K248" s="107"/>
      <c r="L248" s="107"/>
      <c r="M248" s="107"/>
      <c r="N248" s="107"/>
      <c r="O248" s="107"/>
      <c r="P248" s="107"/>
      <c r="Q248" s="107"/>
      <c r="R248" s="107"/>
      <c r="S248" s="107"/>
    </row>
    <row r="249" spans="1:19" s="106" customFormat="1" ht="15" customHeight="1">
      <c r="A249" s="110"/>
      <c r="B249" s="111"/>
      <c r="C249" s="182"/>
      <c r="D249" s="183"/>
      <c r="E249" s="184"/>
      <c r="F249" s="115"/>
      <c r="G249" s="107"/>
      <c r="H249" s="107"/>
      <c r="I249" s="107"/>
      <c r="J249" s="107"/>
      <c r="K249" s="107"/>
      <c r="L249" s="107"/>
      <c r="M249" s="107"/>
      <c r="N249" s="107"/>
      <c r="O249" s="107"/>
      <c r="P249" s="107"/>
      <c r="Q249" s="107"/>
      <c r="R249" s="107"/>
      <c r="S249" s="107"/>
    </row>
    <row r="250" spans="1:19" s="106" customFormat="1" ht="15" customHeight="1">
      <c r="A250" s="110"/>
      <c r="B250" s="111"/>
      <c r="C250" s="182"/>
      <c r="D250" s="183"/>
      <c r="E250" s="184"/>
      <c r="F250" s="115"/>
      <c r="G250" s="107"/>
      <c r="H250" s="107"/>
      <c r="I250" s="107"/>
      <c r="J250" s="107"/>
      <c r="K250" s="107"/>
      <c r="L250" s="107"/>
      <c r="M250" s="107"/>
      <c r="N250" s="107"/>
      <c r="O250" s="107"/>
      <c r="P250" s="107"/>
      <c r="Q250" s="107"/>
      <c r="R250" s="107"/>
      <c r="S250" s="107"/>
    </row>
    <row r="251" spans="1:19" s="106" customFormat="1" ht="15" customHeight="1">
      <c r="A251" s="110"/>
      <c r="B251" s="111"/>
      <c r="C251" s="182"/>
      <c r="D251" s="183"/>
      <c r="E251" s="184"/>
      <c r="F251" s="115"/>
      <c r="G251" s="107"/>
      <c r="H251" s="107"/>
      <c r="I251" s="107"/>
      <c r="J251" s="107"/>
      <c r="K251" s="107"/>
      <c r="L251" s="107"/>
      <c r="M251" s="107"/>
      <c r="N251" s="107"/>
      <c r="O251" s="107"/>
      <c r="P251" s="107"/>
      <c r="Q251" s="107"/>
      <c r="R251" s="107"/>
      <c r="S251" s="107"/>
    </row>
    <row r="252" spans="1:19" s="106" customFormat="1" ht="15" customHeight="1">
      <c r="A252" s="110"/>
      <c r="B252" s="111"/>
      <c r="C252" s="182"/>
      <c r="D252" s="183"/>
      <c r="E252" s="184"/>
      <c r="F252" s="115"/>
      <c r="G252" s="107"/>
      <c r="H252" s="107"/>
      <c r="I252" s="107"/>
      <c r="J252" s="107"/>
      <c r="K252" s="107"/>
      <c r="L252" s="107"/>
      <c r="M252" s="107"/>
      <c r="N252" s="107"/>
      <c r="O252" s="107"/>
      <c r="P252" s="107"/>
      <c r="Q252" s="107"/>
      <c r="R252" s="107"/>
      <c r="S252" s="107"/>
    </row>
    <row r="253" spans="1:19" s="106" customFormat="1" ht="15" customHeight="1">
      <c r="A253" s="110"/>
      <c r="B253" s="111"/>
      <c r="C253" s="182"/>
      <c r="D253" s="183"/>
      <c r="E253" s="184"/>
      <c r="F253" s="115"/>
      <c r="G253" s="107"/>
      <c r="H253" s="107"/>
      <c r="I253" s="107"/>
      <c r="J253" s="107"/>
      <c r="K253" s="107"/>
      <c r="L253" s="107"/>
      <c r="M253" s="107"/>
      <c r="N253" s="107"/>
      <c r="O253" s="107"/>
      <c r="P253" s="107"/>
      <c r="Q253" s="107"/>
      <c r="R253" s="107"/>
      <c r="S253" s="107"/>
    </row>
    <row r="254" spans="1:19" s="106" customFormat="1" ht="15" customHeight="1">
      <c r="A254" s="110"/>
      <c r="B254" s="111"/>
      <c r="C254" s="182"/>
      <c r="D254" s="183"/>
      <c r="E254" s="184"/>
      <c r="F254" s="115"/>
      <c r="G254" s="107"/>
      <c r="H254" s="107"/>
      <c r="I254" s="107"/>
      <c r="J254" s="107"/>
      <c r="K254" s="107"/>
      <c r="L254" s="107"/>
      <c r="M254" s="107"/>
      <c r="N254" s="107"/>
      <c r="O254" s="107"/>
      <c r="P254" s="107"/>
      <c r="Q254" s="107"/>
      <c r="R254" s="107"/>
      <c r="S254" s="107"/>
    </row>
    <row r="255" spans="1:19" s="106" customFormat="1" ht="15" customHeight="1">
      <c r="A255" s="110"/>
      <c r="B255" s="111"/>
      <c r="C255" s="182"/>
      <c r="D255" s="183"/>
      <c r="E255" s="184"/>
      <c r="F255" s="115"/>
      <c r="G255" s="107"/>
      <c r="H255" s="107"/>
      <c r="I255" s="107"/>
      <c r="J255" s="107"/>
      <c r="K255" s="107"/>
      <c r="L255" s="107"/>
      <c r="M255" s="107"/>
      <c r="N255" s="107"/>
      <c r="O255" s="107"/>
      <c r="P255" s="107"/>
      <c r="Q255" s="107"/>
      <c r="R255" s="107"/>
      <c r="S255" s="107"/>
    </row>
    <row r="256" spans="1:19" s="106" customFormat="1" ht="15" customHeight="1">
      <c r="A256" s="110"/>
      <c r="B256" s="111"/>
      <c r="C256" s="182"/>
      <c r="D256" s="183"/>
      <c r="E256" s="184"/>
      <c r="F256" s="115"/>
      <c r="G256" s="107"/>
      <c r="H256" s="107"/>
      <c r="I256" s="107"/>
      <c r="J256" s="107"/>
      <c r="K256" s="107"/>
      <c r="L256" s="107"/>
      <c r="M256" s="107"/>
      <c r="N256" s="107"/>
      <c r="O256" s="107"/>
      <c r="P256" s="107"/>
      <c r="Q256" s="107"/>
      <c r="R256" s="107"/>
      <c r="S256" s="107"/>
    </row>
    <row r="257" spans="1:19" s="106" customFormat="1" ht="15" customHeight="1">
      <c r="A257" s="110"/>
      <c r="B257" s="111"/>
      <c r="C257" s="182"/>
      <c r="D257" s="183"/>
      <c r="E257" s="184"/>
      <c r="F257" s="115"/>
      <c r="G257" s="107"/>
      <c r="H257" s="107"/>
      <c r="I257" s="107"/>
      <c r="J257" s="107"/>
      <c r="K257" s="107"/>
      <c r="L257" s="107"/>
      <c r="M257" s="107"/>
      <c r="N257" s="107"/>
      <c r="O257" s="107"/>
      <c r="P257" s="107"/>
      <c r="Q257" s="107"/>
      <c r="R257" s="107"/>
      <c r="S257" s="107"/>
    </row>
    <row r="258" spans="1:19" s="106" customFormat="1" ht="15" customHeight="1">
      <c r="A258" s="110"/>
      <c r="B258" s="111"/>
      <c r="C258" s="182"/>
      <c r="D258" s="183"/>
      <c r="E258" s="184"/>
      <c r="F258" s="115"/>
      <c r="G258" s="107"/>
      <c r="H258" s="107"/>
      <c r="I258" s="107"/>
      <c r="J258" s="107"/>
      <c r="K258" s="107"/>
      <c r="L258" s="107"/>
      <c r="M258" s="107"/>
      <c r="N258" s="107"/>
      <c r="O258" s="107"/>
      <c r="P258" s="107"/>
      <c r="Q258" s="107"/>
      <c r="R258" s="107"/>
      <c r="S258" s="107"/>
    </row>
    <row r="259" spans="1:19" s="106" customFormat="1" ht="15" customHeight="1">
      <c r="A259" s="110"/>
      <c r="B259" s="111"/>
      <c r="C259" s="182"/>
      <c r="D259" s="183"/>
      <c r="E259" s="184"/>
      <c r="F259" s="115"/>
      <c r="G259" s="107"/>
      <c r="H259" s="107"/>
      <c r="I259" s="107"/>
      <c r="J259" s="107"/>
      <c r="K259" s="107"/>
      <c r="L259" s="107"/>
      <c r="M259" s="107"/>
      <c r="N259" s="107"/>
      <c r="O259" s="107"/>
      <c r="P259" s="107"/>
      <c r="Q259" s="107"/>
      <c r="R259" s="107"/>
      <c r="S259" s="107"/>
    </row>
    <row r="260" spans="1:19" s="106" customFormat="1" ht="15" customHeight="1">
      <c r="A260" s="110"/>
      <c r="B260" s="111"/>
      <c r="C260" s="182"/>
      <c r="D260" s="183"/>
      <c r="E260" s="184"/>
      <c r="F260" s="115"/>
      <c r="G260" s="107"/>
      <c r="H260" s="107"/>
      <c r="I260" s="107"/>
      <c r="J260" s="107"/>
      <c r="K260" s="107"/>
      <c r="L260" s="107"/>
      <c r="M260" s="107"/>
      <c r="N260" s="107"/>
      <c r="O260" s="107"/>
      <c r="P260" s="107"/>
      <c r="Q260" s="107"/>
      <c r="R260" s="107"/>
      <c r="S260" s="107"/>
    </row>
    <row r="261" spans="1:19" s="106" customFormat="1" ht="15" customHeight="1">
      <c r="A261" s="110"/>
      <c r="B261" s="111"/>
      <c r="C261" s="182"/>
      <c r="D261" s="183"/>
      <c r="E261" s="184"/>
      <c r="F261" s="115"/>
      <c r="G261" s="107"/>
      <c r="H261" s="107"/>
      <c r="I261" s="107"/>
      <c r="J261" s="107"/>
      <c r="K261" s="107"/>
      <c r="L261" s="107"/>
      <c r="M261" s="107"/>
      <c r="N261" s="107"/>
      <c r="O261" s="107"/>
      <c r="P261" s="107"/>
      <c r="Q261" s="107"/>
      <c r="R261" s="107"/>
      <c r="S261" s="107"/>
    </row>
    <row r="262" spans="1:19" s="106" customFormat="1" ht="15" customHeight="1">
      <c r="A262" s="110"/>
      <c r="B262" s="111"/>
      <c r="C262" s="182"/>
      <c r="D262" s="183"/>
      <c r="E262" s="184"/>
      <c r="F262" s="115"/>
      <c r="G262" s="107"/>
      <c r="H262" s="107"/>
      <c r="I262" s="107"/>
      <c r="J262" s="107"/>
      <c r="K262" s="107"/>
      <c r="L262" s="107"/>
      <c r="M262" s="107"/>
      <c r="N262" s="107"/>
      <c r="O262" s="107"/>
      <c r="P262" s="107"/>
      <c r="Q262" s="107"/>
      <c r="R262" s="107"/>
      <c r="S262" s="107"/>
    </row>
    <row r="263" spans="1:19" s="106" customFormat="1" ht="15" customHeight="1">
      <c r="A263" s="110"/>
      <c r="B263" s="111"/>
      <c r="C263" s="182"/>
      <c r="D263" s="183"/>
      <c r="E263" s="184"/>
      <c r="F263" s="115"/>
      <c r="G263" s="107"/>
      <c r="H263" s="107"/>
      <c r="I263" s="107"/>
      <c r="J263" s="107"/>
      <c r="K263" s="107"/>
      <c r="L263" s="107"/>
      <c r="M263" s="107"/>
      <c r="N263" s="107"/>
      <c r="O263" s="107"/>
      <c r="P263" s="107"/>
      <c r="Q263" s="107"/>
      <c r="R263" s="107"/>
      <c r="S263" s="107"/>
    </row>
    <row r="264" spans="1:19" s="106" customFormat="1" ht="15" customHeight="1">
      <c r="A264" s="110"/>
      <c r="B264" s="111"/>
      <c r="C264" s="182"/>
      <c r="D264" s="183"/>
      <c r="E264" s="184"/>
      <c r="F264" s="115"/>
      <c r="G264" s="107"/>
      <c r="H264" s="107"/>
      <c r="I264" s="107"/>
      <c r="J264" s="107"/>
      <c r="K264" s="107"/>
      <c r="L264" s="107"/>
      <c r="M264" s="107"/>
      <c r="N264" s="107"/>
      <c r="O264" s="107"/>
      <c r="P264" s="107"/>
      <c r="Q264" s="107"/>
      <c r="R264" s="107"/>
      <c r="S264" s="107"/>
    </row>
    <row r="265" spans="1:19" s="106" customFormat="1" ht="15" customHeight="1">
      <c r="A265" s="110"/>
      <c r="B265" s="111"/>
      <c r="C265" s="182"/>
      <c r="D265" s="183"/>
      <c r="E265" s="184"/>
      <c r="F265" s="115"/>
      <c r="G265" s="107"/>
      <c r="H265" s="107"/>
      <c r="I265" s="107"/>
      <c r="J265" s="107"/>
      <c r="K265" s="107"/>
      <c r="L265" s="107"/>
      <c r="M265" s="107"/>
      <c r="N265" s="107"/>
      <c r="O265" s="107"/>
      <c r="P265" s="107"/>
      <c r="Q265" s="107"/>
      <c r="R265" s="107"/>
      <c r="S265" s="107"/>
    </row>
    <row r="266" spans="1:19" s="106" customFormat="1" ht="15" customHeight="1">
      <c r="A266" s="110"/>
      <c r="B266" s="111"/>
      <c r="C266" s="182"/>
      <c r="D266" s="183"/>
      <c r="E266" s="184"/>
      <c r="F266" s="115"/>
      <c r="G266" s="107"/>
      <c r="H266" s="107"/>
      <c r="I266" s="107"/>
      <c r="J266" s="107"/>
      <c r="K266" s="107"/>
      <c r="L266" s="107"/>
      <c r="M266" s="107"/>
      <c r="N266" s="107"/>
      <c r="O266" s="107"/>
      <c r="P266" s="107"/>
      <c r="Q266" s="107"/>
      <c r="R266" s="107"/>
      <c r="S266" s="107"/>
    </row>
    <row r="267" spans="1:19" s="106" customFormat="1" ht="15" customHeight="1">
      <c r="A267" s="110"/>
      <c r="B267" s="111"/>
      <c r="C267" s="182"/>
      <c r="D267" s="183"/>
      <c r="E267" s="184"/>
      <c r="F267" s="115"/>
      <c r="G267" s="107"/>
      <c r="H267" s="107"/>
      <c r="I267" s="107"/>
      <c r="J267" s="107"/>
      <c r="K267" s="107"/>
      <c r="L267" s="107"/>
      <c r="M267" s="107"/>
      <c r="N267" s="107"/>
      <c r="O267" s="107"/>
      <c r="P267" s="107"/>
      <c r="Q267" s="107"/>
      <c r="R267" s="107"/>
      <c r="S267" s="107"/>
    </row>
    <row r="268" spans="1:19" s="106" customFormat="1" ht="15" customHeight="1">
      <c r="A268" s="110"/>
      <c r="B268" s="111"/>
      <c r="C268" s="182"/>
      <c r="D268" s="183"/>
      <c r="E268" s="184"/>
      <c r="F268" s="115"/>
      <c r="G268" s="107"/>
      <c r="H268" s="107"/>
      <c r="I268" s="107"/>
      <c r="J268" s="107"/>
      <c r="K268" s="107"/>
      <c r="L268" s="107"/>
      <c r="M268" s="107"/>
      <c r="N268" s="107"/>
      <c r="O268" s="107"/>
      <c r="P268" s="107"/>
      <c r="Q268" s="107"/>
      <c r="R268" s="107"/>
      <c r="S268" s="107"/>
    </row>
    <row r="269" spans="1:19" s="106" customFormat="1" ht="15" customHeight="1">
      <c r="A269" s="110"/>
      <c r="B269" s="111"/>
      <c r="C269" s="182"/>
      <c r="D269" s="183"/>
      <c r="E269" s="184"/>
      <c r="F269" s="115"/>
      <c r="G269" s="107"/>
      <c r="H269" s="107"/>
      <c r="I269" s="107"/>
      <c r="J269" s="107"/>
      <c r="K269" s="107"/>
      <c r="L269" s="107"/>
      <c r="M269" s="107"/>
      <c r="N269" s="107"/>
      <c r="O269" s="107"/>
      <c r="P269" s="107"/>
      <c r="Q269" s="107"/>
      <c r="R269" s="107"/>
      <c r="S269" s="107"/>
    </row>
    <row r="270" spans="1:19" s="106" customFormat="1" ht="15" customHeight="1">
      <c r="A270" s="110"/>
      <c r="B270" s="111"/>
      <c r="C270" s="182"/>
      <c r="D270" s="183"/>
      <c r="E270" s="184"/>
      <c r="F270" s="115"/>
      <c r="G270" s="107"/>
      <c r="H270" s="107"/>
      <c r="I270" s="107"/>
      <c r="J270" s="107"/>
      <c r="K270" s="107"/>
      <c r="L270" s="107"/>
      <c r="M270" s="107"/>
      <c r="N270" s="107"/>
      <c r="O270" s="107"/>
      <c r="P270" s="107"/>
      <c r="Q270" s="107"/>
      <c r="R270" s="107"/>
      <c r="S270" s="107"/>
    </row>
    <row r="271" spans="1:19" s="106" customFormat="1" ht="15" customHeight="1">
      <c r="A271" s="110"/>
      <c r="B271" s="111"/>
      <c r="C271" s="182"/>
      <c r="D271" s="183"/>
      <c r="E271" s="184"/>
      <c r="F271" s="115"/>
      <c r="G271" s="107"/>
      <c r="H271" s="107"/>
      <c r="I271" s="107"/>
      <c r="J271" s="107"/>
      <c r="K271" s="107"/>
      <c r="L271" s="107"/>
      <c r="M271" s="107"/>
      <c r="N271" s="107"/>
      <c r="O271" s="107"/>
      <c r="P271" s="107"/>
      <c r="Q271" s="107"/>
      <c r="R271" s="107"/>
      <c r="S271" s="107"/>
    </row>
    <row r="272" spans="1:19" s="106" customFormat="1" ht="15" customHeight="1">
      <c r="A272" s="110"/>
      <c r="B272" s="111"/>
      <c r="C272" s="182"/>
      <c r="D272" s="183"/>
      <c r="E272" s="184"/>
      <c r="F272" s="115"/>
      <c r="G272" s="107"/>
      <c r="H272" s="107"/>
      <c r="I272" s="107"/>
      <c r="J272" s="107"/>
      <c r="K272" s="107"/>
      <c r="L272" s="107"/>
      <c r="M272" s="107"/>
      <c r="N272" s="107"/>
      <c r="O272" s="107"/>
      <c r="P272" s="107"/>
      <c r="Q272" s="107"/>
      <c r="R272" s="107"/>
      <c r="S272" s="107"/>
    </row>
    <row r="273" spans="1:19" s="106" customFormat="1" ht="15" customHeight="1">
      <c r="A273" s="110"/>
      <c r="B273" s="111"/>
      <c r="C273" s="182"/>
      <c r="D273" s="183"/>
      <c r="E273" s="184"/>
      <c r="F273" s="115"/>
      <c r="G273" s="107"/>
      <c r="H273" s="107"/>
      <c r="I273" s="107"/>
      <c r="J273" s="107"/>
      <c r="K273" s="107"/>
      <c r="L273" s="107"/>
      <c r="M273" s="107"/>
      <c r="N273" s="107"/>
      <c r="O273" s="107"/>
      <c r="P273" s="107"/>
      <c r="Q273" s="107"/>
      <c r="R273" s="107"/>
      <c r="S273" s="107"/>
    </row>
    <row r="274" spans="1:19" s="106" customFormat="1" ht="15" customHeight="1">
      <c r="A274" s="110"/>
      <c r="B274" s="111"/>
      <c r="C274" s="182"/>
      <c r="D274" s="183"/>
      <c r="E274" s="184"/>
      <c r="F274" s="115"/>
      <c r="G274" s="107"/>
      <c r="H274" s="107"/>
      <c r="I274" s="107"/>
      <c r="J274" s="107"/>
      <c r="K274" s="107"/>
      <c r="L274" s="107"/>
      <c r="M274" s="107"/>
      <c r="N274" s="107"/>
      <c r="O274" s="107"/>
      <c r="P274" s="107"/>
      <c r="Q274" s="107"/>
      <c r="R274" s="107"/>
      <c r="S274" s="107"/>
    </row>
    <row r="275" spans="1:19" s="106" customFormat="1" ht="15" customHeight="1">
      <c r="A275" s="110"/>
      <c r="B275" s="111"/>
      <c r="C275" s="182"/>
      <c r="D275" s="183"/>
      <c r="E275" s="184"/>
      <c r="F275" s="115"/>
      <c r="G275" s="107"/>
      <c r="H275" s="107"/>
      <c r="I275" s="107"/>
      <c r="J275" s="107"/>
      <c r="K275" s="107"/>
      <c r="L275" s="107"/>
      <c r="M275" s="107"/>
      <c r="N275" s="107"/>
      <c r="O275" s="107"/>
      <c r="P275" s="107"/>
      <c r="Q275" s="107"/>
      <c r="R275" s="107"/>
      <c r="S275" s="107"/>
    </row>
    <row r="276" spans="1:19" s="106" customFormat="1" ht="15" customHeight="1">
      <c r="A276" s="110"/>
      <c r="B276" s="111"/>
      <c r="C276" s="182"/>
      <c r="D276" s="183"/>
      <c r="E276" s="184"/>
      <c r="F276" s="115"/>
      <c r="G276" s="107"/>
      <c r="H276" s="107"/>
      <c r="I276" s="107"/>
      <c r="J276" s="107"/>
      <c r="K276" s="107"/>
      <c r="L276" s="107"/>
      <c r="M276" s="107"/>
      <c r="N276" s="107"/>
      <c r="O276" s="107"/>
      <c r="P276" s="107"/>
      <c r="Q276" s="107"/>
      <c r="R276" s="107"/>
      <c r="S276" s="107"/>
    </row>
    <row r="277" spans="1:19" s="106" customFormat="1" ht="15" customHeight="1">
      <c r="A277" s="110"/>
      <c r="B277" s="111"/>
      <c r="C277" s="182"/>
      <c r="D277" s="183"/>
      <c r="E277" s="184"/>
      <c r="F277" s="115"/>
      <c r="G277" s="107"/>
      <c r="H277" s="107"/>
      <c r="I277" s="107"/>
      <c r="J277" s="107"/>
      <c r="K277" s="107"/>
      <c r="L277" s="107"/>
      <c r="M277" s="107"/>
      <c r="N277" s="107"/>
      <c r="O277" s="107"/>
      <c r="P277" s="107"/>
      <c r="Q277" s="107"/>
      <c r="R277" s="107"/>
      <c r="S277" s="107"/>
    </row>
    <row r="278" spans="1:19" s="106" customFormat="1" ht="15" customHeight="1">
      <c r="A278" s="110"/>
      <c r="B278" s="111"/>
      <c r="C278" s="182"/>
      <c r="D278" s="183"/>
      <c r="E278" s="184"/>
      <c r="F278" s="115"/>
      <c r="G278" s="107"/>
      <c r="H278" s="107"/>
      <c r="I278" s="107"/>
      <c r="J278" s="107"/>
      <c r="K278" s="107"/>
      <c r="L278" s="107"/>
      <c r="M278" s="107"/>
      <c r="N278" s="107"/>
      <c r="O278" s="107"/>
      <c r="P278" s="107"/>
      <c r="Q278" s="107"/>
      <c r="R278" s="107"/>
      <c r="S278" s="107"/>
    </row>
    <row r="279" spans="1:19" s="106" customFormat="1" ht="15" customHeight="1">
      <c r="A279" s="110"/>
      <c r="B279" s="111"/>
      <c r="C279" s="182"/>
      <c r="D279" s="183"/>
      <c r="E279" s="184"/>
      <c r="F279" s="115"/>
      <c r="G279" s="107"/>
      <c r="H279" s="107"/>
      <c r="I279" s="107"/>
      <c r="J279" s="107"/>
      <c r="K279" s="107"/>
      <c r="L279" s="107"/>
      <c r="M279" s="107"/>
      <c r="N279" s="107"/>
      <c r="O279" s="107"/>
      <c r="P279" s="107"/>
      <c r="Q279" s="107"/>
      <c r="R279" s="107"/>
      <c r="S279" s="107"/>
    </row>
    <row r="280" spans="1:19" s="106" customFormat="1" ht="15" customHeight="1">
      <c r="A280" s="110"/>
      <c r="B280" s="111"/>
      <c r="C280" s="182"/>
      <c r="D280" s="183"/>
      <c r="E280" s="184"/>
      <c r="F280" s="115"/>
      <c r="G280" s="107"/>
      <c r="H280" s="107"/>
      <c r="I280" s="107"/>
      <c r="J280" s="107"/>
      <c r="K280" s="107"/>
      <c r="L280" s="107"/>
      <c r="M280" s="107"/>
      <c r="N280" s="107"/>
      <c r="O280" s="107"/>
      <c r="P280" s="107"/>
      <c r="Q280" s="107"/>
      <c r="R280" s="107"/>
      <c r="S280" s="107"/>
    </row>
    <row r="281" spans="1:19" s="106" customFormat="1" ht="15" customHeight="1">
      <c r="A281" s="110"/>
      <c r="B281" s="111"/>
      <c r="C281" s="182"/>
      <c r="D281" s="183"/>
      <c r="E281" s="184"/>
      <c r="F281" s="115"/>
      <c r="G281" s="107"/>
      <c r="H281" s="107"/>
      <c r="I281" s="107"/>
      <c r="J281" s="107"/>
      <c r="K281" s="107"/>
      <c r="L281" s="107"/>
      <c r="M281" s="107"/>
      <c r="N281" s="107"/>
      <c r="O281" s="107"/>
      <c r="P281" s="107"/>
      <c r="Q281" s="107"/>
      <c r="R281" s="107"/>
      <c r="S281" s="107"/>
    </row>
    <row r="282" spans="1:19" s="106" customFormat="1" ht="15" customHeight="1">
      <c r="A282" s="110"/>
      <c r="B282" s="111"/>
      <c r="C282" s="182"/>
      <c r="D282" s="183"/>
      <c r="E282" s="184"/>
      <c r="F282" s="115"/>
      <c r="G282" s="107"/>
      <c r="H282" s="107"/>
      <c r="I282" s="107"/>
      <c r="J282" s="107"/>
      <c r="K282" s="107"/>
      <c r="L282" s="107"/>
      <c r="M282" s="107"/>
      <c r="N282" s="107"/>
      <c r="O282" s="107"/>
      <c r="P282" s="107"/>
      <c r="Q282" s="107"/>
      <c r="R282" s="107"/>
      <c r="S282" s="107"/>
    </row>
    <row r="283" spans="1:19" s="106" customFormat="1" ht="15" customHeight="1">
      <c r="A283" s="110"/>
      <c r="B283" s="111"/>
      <c r="C283" s="182"/>
      <c r="D283" s="183"/>
      <c r="E283" s="184"/>
      <c r="F283" s="115"/>
      <c r="G283" s="107"/>
      <c r="H283" s="107"/>
      <c r="I283" s="107"/>
      <c r="J283" s="107"/>
      <c r="K283" s="107"/>
      <c r="L283" s="107"/>
      <c r="M283" s="107"/>
      <c r="N283" s="107"/>
      <c r="O283" s="107"/>
      <c r="P283" s="107"/>
      <c r="Q283" s="107"/>
      <c r="R283" s="107"/>
      <c r="S283" s="107"/>
    </row>
    <row r="284" spans="1:19" s="106" customFormat="1" ht="15" customHeight="1">
      <c r="A284" s="110"/>
      <c r="B284" s="111"/>
      <c r="C284" s="182"/>
      <c r="D284" s="183"/>
      <c r="E284" s="184"/>
      <c r="F284" s="115"/>
      <c r="G284" s="107"/>
      <c r="H284" s="107"/>
      <c r="I284" s="107"/>
      <c r="J284" s="107"/>
      <c r="K284" s="107"/>
      <c r="L284" s="107"/>
      <c r="M284" s="107"/>
      <c r="N284" s="107"/>
      <c r="O284" s="107"/>
      <c r="P284" s="107"/>
      <c r="Q284" s="107"/>
      <c r="R284" s="107"/>
      <c r="S284" s="107"/>
    </row>
    <row r="285" spans="1:19" s="106" customFormat="1" ht="15" customHeight="1">
      <c r="A285" s="110"/>
      <c r="B285" s="111"/>
      <c r="C285" s="182"/>
      <c r="D285" s="183"/>
      <c r="E285" s="184"/>
      <c r="F285" s="115"/>
      <c r="G285" s="107"/>
      <c r="H285" s="107"/>
      <c r="I285" s="107"/>
      <c r="J285" s="107"/>
      <c r="K285" s="107"/>
      <c r="L285" s="107"/>
      <c r="M285" s="107"/>
      <c r="N285" s="107"/>
      <c r="O285" s="107"/>
      <c r="P285" s="107"/>
      <c r="Q285" s="107"/>
      <c r="R285" s="107"/>
      <c r="S285" s="107"/>
    </row>
    <row r="286" spans="1:19" s="106" customFormat="1" ht="15" customHeight="1">
      <c r="A286" s="110"/>
      <c r="B286" s="111"/>
      <c r="C286" s="182"/>
      <c r="D286" s="183"/>
      <c r="E286" s="184"/>
      <c r="F286" s="115"/>
      <c r="G286" s="107"/>
      <c r="H286" s="107"/>
      <c r="I286" s="107"/>
      <c r="J286" s="107"/>
      <c r="K286" s="107"/>
      <c r="L286" s="107"/>
      <c r="M286" s="107"/>
      <c r="N286" s="107"/>
      <c r="O286" s="107"/>
      <c r="P286" s="107"/>
      <c r="Q286" s="107"/>
      <c r="R286" s="107"/>
      <c r="S286" s="107"/>
    </row>
    <row r="287" spans="1:19" s="106" customFormat="1" ht="15" customHeight="1">
      <c r="A287" s="110"/>
      <c r="B287" s="111"/>
      <c r="C287" s="182"/>
      <c r="D287" s="183"/>
      <c r="E287" s="184"/>
      <c r="F287" s="115"/>
      <c r="G287" s="107"/>
      <c r="H287" s="107"/>
      <c r="I287" s="107"/>
      <c r="J287" s="107"/>
      <c r="K287" s="107"/>
      <c r="L287" s="107"/>
      <c r="M287" s="107"/>
      <c r="N287" s="107"/>
      <c r="O287" s="107"/>
      <c r="P287" s="107"/>
      <c r="Q287" s="107"/>
      <c r="R287" s="107"/>
      <c r="S287" s="107"/>
    </row>
    <row r="288" spans="1:19" s="106" customFormat="1" ht="15" customHeight="1">
      <c r="A288" s="110"/>
      <c r="B288" s="111"/>
      <c r="C288" s="182"/>
      <c r="D288" s="183"/>
      <c r="E288" s="184"/>
      <c r="F288" s="115"/>
      <c r="G288" s="107"/>
      <c r="H288" s="107"/>
      <c r="I288" s="107"/>
      <c r="J288" s="107"/>
      <c r="K288" s="107"/>
      <c r="L288" s="107"/>
      <c r="M288" s="107"/>
      <c r="N288" s="107"/>
      <c r="O288" s="107"/>
      <c r="P288" s="107"/>
      <c r="Q288" s="107"/>
      <c r="R288" s="107"/>
      <c r="S288" s="107"/>
    </row>
    <row r="289" spans="1:19" s="106" customFormat="1" ht="15" customHeight="1">
      <c r="A289" s="110"/>
      <c r="B289" s="111"/>
      <c r="C289" s="182"/>
      <c r="D289" s="183"/>
      <c r="E289" s="184"/>
      <c r="F289" s="115"/>
      <c r="G289" s="107"/>
      <c r="H289" s="107"/>
      <c r="I289" s="107"/>
      <c r="J289" s="107"/>
      <c r="K289" s="107"/>
      <c r="L289" s="107"/>
      <c r="M289" s="107"/>
      <c r="N289" s="107"/>
      <c r="O289" s="107"/>
      <c r="P289" s="107"/>
      <c r="Q289" s="107"/>
      <c r="R289" s="107"/>
      <c r="S289" s="107"/>
    </row>
    <row r="290" spans="1:19" s="106" customFormat="1" ht="15" customHeight="1">
      <c r="A290" s="110"/>
      <c r="B290" s="111"/>
      <c r="C290" s="182"/>
      <c r="D290" s="183"/>
      <c r="E290" s="184"/>
      <c r="F290" s="115"/>
      <c r="G290" s="107"/>
      <c r="H290" s="107"/>
      <c r="I290" s="107"/>
      <c r="J290" s="107"/>
      <c r="K290" s="107"/>
      <c r="L290" s="107"/>
      <c r="M290" s="107"/>
      <c r="N290" s="107"/>
      <c r="O290" s="107"/>
      <c r="P290" s="107"/>
      <c r="Q290" s="107"/>
      <c r="R290" s="107"/>
      <c r="S290" s="107"/>
    </row>
    <row r="291" spans="1:19" s="106" customFormat="1" ht="15" customHeight="1">
      <c r="A291" s="110"/>
      <c r="B291" s="111"/>
      <c r="C291" s="182"/>
      <c r="D291" s="183"/>
      <c r="E291" s="184"/>
      <c r="F291" s="115"/>
      <c r="G291" s="107"/>
      <c r="H291" s="107"/>
      <c r="I291" s="107"/>
      <c r="J291" s="107"/>
      <c r="K291" s="107"/>
      <c r="L291" s="107"/>
      <c r="M291" s="107"/>
      <c r="N291" s="107"/>
      <c r="O291" s="107"/>
      <c r="P291" s="107"/>
      <c r="Q291" s="107"/>
      <c r="R291" s="107"/>
      <c r="S291" s="107"/>
    </row>
    <row r="292" spans="1:19" s="106" customFormat="1" ht="15" customHeight="1">
      <c r="A292" s="110"/>
      <c r="B292" s="111"/>
      <c r="C292" s="182"/>
      <c r="D292" s="183"/>
      <c r="E292" s="184"/>
      <c r="F292" s="115"/>
      <c r="G292" s="107"/>
      <c r="H292" s="107"/>
      <c r="I292" s="107"/>
      <c r="J292" s="107"/>
      <c r="K292" s="107"/>
      <c r="L292" s="107"/>
      <c r="M292" s="107"/>
      <c r="N292" s="107"/>
      <c r="O292" s="107"/>
      <c r="P292" s="107"/>
      <c r="Q292" s="107"/>
      <c r="R292" s="107"/>
      <c r="S292" s="107"/>
    </row>
    <row r="293" spans="1:19" s="106" customFormat="1" ht="15" customHeight="1">
      <c r="A293" s="110"/>
      <c r="B293" s="111"/>
      <c r="C293" s="182"/>
      <c r="D293" s="183"/>
      <c r="E293" s="184"/>
      <c r="F293" s="115"/>
      <c r="G293" s="107"/>
      <c r="H293" s="107"/>
      <c r="I293" s="107"/>
      <c r="J293" s="107"/>
      <c r="K293" s="107"/>
      <c r="L293" s="107"/>
      <c r="M293" s="107"/>
      <c r="N293" s="107"/>
      <c r="O293" s="107"/>
      <c r="P293" s="107"/>
      <c r="Q293" s="107"/>
      <c r="R293" s="107"/>
      <c r="S293" s="107"/>
    </row>
    <row r="294" spans="1:19" s="106" customFormat="1" ht="15" customHeight="1">
      <c r="A294" s="110"/>
      <c r="B294" s="111"/>
      <c r="C294" s="182"/>
      <c r="D294" s="183"/>
      <c r="E294" s="184"/>
      <c r="F294" s="115"/>
      <c r="G294" s="107"/>
      <c r="H294" s="107"/>
      <c r="I294" s="107"/>
      <c r="J294" s="107"/>
      <c r="K294" s="107"/>
      <c r="L294" s="107"/>
      <c r="M294" s="107"/>
      <c r="N294" s="107"/>
      <c r="O294" s="107"/>
      <c r="P294" s="107"/>
      <c r="Q294" s="107"/>
      <c r="R294" s="107"/>
      <c r="S294" s="107"/>
    </row>
    <row r="295" spans="1:19" s="106" customFormat="1" ht="15" customHeight="1">
      <c r="A295" s="110"/>
      <c r="B295" s="111"/>
      <c r="C295" s="182"/>
      <c r="D295" s="183"/>
      <c r="E295" s="184"/>
      <c r="F295" s="115"/>
      <c r="G295" s="107"/>
      <c r="H295" s="107"/>
      <c r="I295" s="107"/>
      <c r="J295" s="107"/>
      <c r="K295" s="107"/>
      <c r="L295" s="107"/>
      <c r="M295" s="107"/>
      <c r="N295" s="107"/>
      <c r="O295" s="107"/>
      <c r="P295" s="107"/>
      <c r="Q295" s="107"/>
      <c r="R295" s="107"/>
      <c r="S295" s="107"/>
    </row>
    <row r="296" spans="1:19" s="106" customFormat="1" ht="15" customHeight="1">
      <c r="A296" s="110"/>
      <c r="B296" s="111"/>
      <c r="C296" s="182"/>
      <c r="D296" s="183"/>
      <c r="E296" s="184"/>
      <c r="F296" s="115"/>
      <c r="G296" s="107"/>
      <c r="H296" s="107"/>
      <c r="I296" s="107"/>
      <c r="J296" s="107"/>
      <c r="K296" s="107"/>
      <c r="L296" s="107"/>
      <c r="M296" s="107"/>
      <c r="N296" s="107"/>
      <c r="O296" s="107"/>
      <c r="P296" s="107"/>
      <c r="Q296" s="107"/>
      <c r="R296" s="107"/>
      <c r="S296" s="107"/>
    </row>
    <row r="297" spans="1:19" s="106" customFormat="1" ht="15" customHeight="1">
      <c r="A297" s="110"/>
      <c r="B297" s="111"/>
      <c r="C297" s="182"/>
      <c r="D297" s="183"/>
      <c r="E297" s="184"/>
      <c r="F297" s="115"/>
      <c r="G297" s="107"/>
      <c r="H297" s="107"/>
      <c r="I297" s="107"/>
      <c r="J297" s="107"/>
      <c r="K297" s="107"/>
      <c r="L297" s="107"/>
      <c r="M297" s="107"/>
      <c r="N297" s="107"/>
      <c r="O297" s="107"/>
      <c r="P297" s="107"/>
      <c r="Q297" s="107"/>
      <c r="R297" s="107"/>
      <c r="S297" s="107"/>
    </row>
    <row r="298" spans="1:19" s="106" customFormat="1" ht="15" customHeight="1">
      <c r="A298" s="110"/>
      <c r="B298" s="111"/>
      <c r="C298" s="182"/>
      <c r="D298" s="183"/>
      <c r="E298" s="184"/>
      <c r="F298" s="115"/>
      <c r="G298" s="107"/>
      <c r="H298" s="107"/>
      <c r="I298" s="107"/>
      <c r="J298" s="107"/>
      <c r="K298" s="107"/>
      <c r="L298" s="107"/>
      <c r="M298" s="107"/>
      <c r="N298" s="107"/>
      <c r="O298" s="107"/>
      <c r="P298" s="107"/>
      <c r="Q298" s="107"/>
      <c r="R298" s="107"/>
      <c r="S298" s="107"/>
    </row>
    <row r="299" spans="1:19" s="106" customFormat="1" ht="15" customHeight="1">
      <c r="A299" s="110"/>
      <c r="B299" s="111"/>
      <c r="C299" s="182"/>
      <c r="D299" s="183"/>
      <c r="E299" s="184"/>
      <c r="F299" s="115"/>
      <c r="G299" s="107"/>
      <c r="H299" s="107"/>
      <c r="I299" s="107"/>
      <c r="J299" s="107"/>
      <c r="K299" s="107"/>
      <c r="L299" s="107"/>
      <c r="M299" s="107"/>
      <c r="N299" s="107"/>
      <c r="O299" s="107"/>
      <c r="P299" s="107"/>
      <c r="Q299" s="107"/>
      <c r="R299" s="107"/>
      <c r="S299" s="107"/>
    </row>
    <row r="300" spans="1:19" s="106" customFormat="1" ht="15" customHeight="1">
      <c r="A300" s="110"/>
      <c r="B300" s="111"/>
      <c r="C300" s="182"/>
      <c r="D300" s="183"/>
      <c r="E300" s="184"/>
      <c r="F300" s="115"/>
      <c r="G300" s="107"/>
      <c r="H300" s="107"/>
      <c r="I300" s="107"/>
      <c r="J300" s="107"/>
      <c r="K300" s="107"/>
      <c r="L300" s="107"/>
      <c r="M300" s="107"/>
      <c r="N300" s="107"/>
      <c r="O300" s="107"/>
      <c r="P300" s="107"/>
      <c r="Q300" s="107"/>
      <c r="R300" s="107"/>
      <c r="S300" s="107"/>
    </row>
    <row r="301" spans="1:19" s="106" customFormat="1" ht="15" customHeight="1">
      <c r="A301" s="110"/>
      <c r="B301" s="111"/>
      <c r="C301" s="182"/>
      <c r="D301" s="183"/>
      <c r="E301" s="184"/>
      <c r="F301" s="115"/>
      <c r="G301" s="107"/>
      <c r="H301" s="107"/>
      <c r="I301" s="107"/>
      <c r="J301" s="107"/>
      <c r="K301" s="107"/>
      <c r="L301" s="107"/>
      <c r="M301" s="107"/>
      <c r="N301" s="107"/>
      <c r="O301" s="107"/>
      <c r="P301" s="107"/>
      <c r="Q301" s="107"/>
      <c r="R301" s="107"/>
      <c r="S301" s="107"/>
    </row>
    <row r="302" spans="1:19" s="106" customFormat="1" ht="15" customHeight="1">
      <c r="A302" s="110"/>
      <c r="B302" s="111"/>
      <c r="C302" s="182"/>
      <c r="D302" s="183"/>
      <c r="E302" s="184"/>
      <c r="F302" s="115"/>
      <c r="G302" s="107"/>
      <c r="H302" s="107"/>
      <c r="I302" s="107"/>
      <c r="J302" s="107"/>
      <c r="K302" s="107"/>
      <c r="L302" s="107"/>
      <c r="M302" s="107"/>
      <c r="N302" s="107"/>
      <c r="O302" s="107"/>
      <c r="P302" s="107"/>
      <c r="Q302" s="107"/>
      <c r="R302" s="107"/>
      <c r="S302" s="107"/>
    </row>
    <row r="303" spans="1:19" s="106" customFormat="1" ht="15" customHeight="1">
      <c r="A303" s="110"/>
      <c r="B303" s="111"/>
      <c r="C303" s="182"/>
      <c r="D303" s="183"/>
      <c r="E303" s="184"/>
      <c r="F303" s="115"/>
      <c r="G303" s="107"/>
      <c r="H303" s="107"/>
      <c r="I303" s="107"/>
      <c r="J303" s="107"/>
      <c r="K303" s="107"/>
      <c r="L303" s="107"/>
      <c r="M303" s="107"/>
      <c r="N303" s="107"/>
      <c r="O303" s="107"/>
      <c r="P303" s="107"/>
      <c r="Q303" s="107"/>
      <c r="R303" s="107"/>
      <c r="S303" s="107"/>
    </row>
    <row r="304" spans="1:19" s="106" customFormat="1" ht="15" customHeight="1">
      <c r="A304" s="110"/>
      <c r="B304" s="111"/>
      <c r="C304" s="182"/>
      <c r="D304" s="183"/>
      <c r="E304" s="184"/>
      <c r="F304" s="115"/>
      <c r="G304" s="107"/>
      <c r="H304" s="107"/>
      <c r="I304" s="107"/>
      <c r="J304" s="107"/>
      <c r="K304" s="107"/>
      <c r="L304" s="107"/>
      <c r="M304" s="107"/>
      <c r="N304" s="107"/>
      <c r="O304" s="107"/>
      <c r="P304" s="107"/>
      <c r="Q304" s="107"/>
      <c r="R304" s="107"/>
      <c r="S304" s="107"/>
    </row>
    <row r="305" spans="1:19" s="106" customFormat="1" ht="15" customHeight="1">
      <c r="A305" s="110"/>
      <c r="B305" s="111"/>
      <c r="C305" s="182"/>
      <c r="D305" s="183"/>
      <c r="E305" s="184"/>
      <c r="F305" s="115"/>
      <c r="G305" s="107"/>
      <c r="H305" s="107"/>
      <c r="I305" s="107"/>
      <c r="J305" s="107"/>
      <c r="K305" s="107"/>
      <c r="L305" s="107"/>
      <c r="M305" s="107"/>
      <c r="N305" s="107"/>
      <c r="O305" s="107"/>
      <c r="P305" s="107"/>
      <c r="Q305" s="107"/>
      <c r="R305" s="107"/>
      <c r="S305" s="107"/>
    </row>
    <row r="306" spans="1:19" s="106" customFormat="1" ht="15" customHeight="1">
      <c r="A306" s="110"/>
      <c r="B306" s="111"/>
      <c r="C306" s="182"/>
      <c r="D306" s="183"/>
      <c r="E306" s="184"/>
      <c r="F306" s="115"/>
      <c r="G306" s="107"/>
      <c r="H306" s="107"/>
      <c r="I306" s="107"/>
      <c r="J306" s="107"/>
      <c r="K306" s="107"/>
      <c r="L306" s="107"/>
      <c r="M306" s="107"/>
      <c r="N306" s="107"/>
      <c r="O306" s="107"/>
      <c r="P306" s="107"/>
      <c r="Q306" s="107"/>
      <c r="R306" s="107"/>
      <c r="S306" s="107"/>
    </row>
    <row r="307" spans="1:19" s="106" customFormat="1" ht="15" customHeight="1">
      <c r="A307" s="110"/>
      <c r="B307" s="111"/>
      <c r="C307" s="182"/>
      <c r="D307" s="183"/>
      <c r="E307" s="184"/>
      <c r="F307" s="115"/>
      <c r="G307" s="107"/>
      <c r="H307" s="107"/>
      <c r="I307" s="107"/>
      <c r="J307" s="107"/>
      <c r="K307" s="107"/>
      <c r="L307" s="107"/>
      <c r="M307" s="107"/>
      <c r="N307" s="107"/>
      <c r="O307" s="107"/>
      <c r="P307" s="107"/>
      <c r="Q307" s="107"/>
      <c r="R307" s="107"/>
      <c r="S307" s="107"/>
    </row>
    <row r="308" spans="1:19" s="106" customFormat="1" ht="15" customHeight="1">
      <c r="A308" s="110"/>
      <c r="B308" s="111"/>
      <c r="C308" s="182"/>
      <c r="D308" s="183"/>
      <c r="E308" s="184"/>
      <c r="F308" s="115"/>
      <c r="G308" s="107"/>
      <c r="H308" s="107"/>
      <c r="I308" s="107"/>
      <c r="J308" s="107"/>
      <c r="K308" s="107"/>
      <c r="L308" s="107"/>
      <c r="M308" s="107"/>
      <c r="N308" s="107"/>
      <c r="O308" s="107"/>
      <c r="P308" s="107"/>
      <c r="Q308" s="107"/>
      <c r="R308" s="107"/>
      <c r="S308" s="107"/>
    </row>
    <row r="309" spans="1:19" s="106" customFormat="1" ht="15" customHeight="1">
      <c r="A309" s="110"/>
      <c r="B309" s="111"/>
      <c r="C309" s="182"/>
      <c r="D309" s="183"/>
      <c r="E309" s="184"/>
      <c r="F309" s="115"/>
      <c r="G309" s="107"/>
      <c r="H309" s="107"/>
      <c r="I309" s="107"/>
      <c r="J309" s="107"/>
      <c r="K309" s="107"/>
      <c r="L309" s="107"/>
      <c r="M309" s="107"/>
      <c r="N309" s="107"/>
      <c r="O309" s="107"/>
      <c r="P309" s="107"/>
      <c r="Q309" s="107"/>
      <c r="R309" s="107"/>
      <c r="S309" s="107"/>
    </row>
    <row r="310" spans="1:19" s="106" customFormat="1" ht="15" customHeight="1">
      <c r="A310" s="110"/>
      <c r="B310" s="111"/>
      <c r="C310" s="182"/>
      <c r="D310" s="183"/>
      <c r="E310" s="184"/>
      <c r="F310" s="115"/>
      <c r="G310" s="107"/>
      <c r="H310" s="107"/>
      <c r="I310" s="107"/>
      <c r="J310" s="107"/>
      <c r="K310" s="107"/>
      <c r="L310" s="107"/>
      <c r="M310" s="107"/>
      <c r="N310" s="107"/>
      <c r="O310" s="107"/>
      <c r="P310" s="107"/>
      <c r="Q310" s="107"/>
      <c r="R310" s="107"/>
      <c r="S310" s="107"/>
    </row>
    <row r="311" spans="1:19" s="106" customFormat="1" ht="15" customHeight="1">
      <c r="A311" s="110"/>
      <c r="B311" s="111"/>
      <c r="C311" s="182"/>
      <c r="D311" s="183"/>
      <c r="E311" s="184"/>
      <c r="F311" s="115"/>
      <c r="G311" s="107"/>
      <c r="H311" s="107"/>
      <c r="I311" s="107"/>
      <c r="J311" s="107"/>
      <c r="K311" s="107"/>
      <c r="L311" s="107"/>
      <c r="M311" s="107"/>
      <c r="N311" s="107"/>
      <c r="O311" s="107"/>
      <c r="P311" s="107"/>
      <c r="Q311" s="107"/>
      <c r="R311" s="107"/>
      <c r="S311" s="107"/>
    </row>
    <row r="312" spans="1:19" s="106" customFormat="1" ht="15" customHeight="1">
      <c r="A312" s="110"/>
      <c r="B312" s="111"/>
      <c r="C312" s="182"/>
      <c r="D312" s="183"/>
      <c r="E312" s="184"/>
      <c r="F312" s="115"/>
      <c r="G312" s="107"/>
      <c r="H312" s="107"/>
      <c r="I312" s="107"/>
      <c r="J312" s="107"/>
      <c r="K312" s="107"/>
      <c r="L312" s="107"/>
      <c r="M312" s="107"/>
      <c r="N312" s="107"/>
      <c r="O312" s="107"/>
      <c r="P312" s="107"/>
      <c r="Q312" s="107"/>
      <c r="R312" s="107"/>
      <c r="S312" s="107"/>
    </row>
    <row r="313" spans="1:19" s="106" customFormat="1" ht="15" customHeight="1">
      <c r="A313" s="110"/>
      <c r="B313" s="111"/>
      <c r="C313" s="182"/>
      <c r="D313" s="183"/>
      <c r="E313" s="184"/>
      <c r="F313" s="115"/>
      <c r="G313" s="107"/>
      <c r="H313" s="107"/>
      <c r="I313" s="107"/>
      <c r="J313" s="107"/>
      <c r="K313" s="107"/>
      <c r="L313" s="107"/>
      <c r="M313" s="107"/>
      <c r="N313" s="107"/>
      <c r="O313" s="107"/>
      <c r="P313" s="107"/>
      <c r="Q313" s="107"/>
      <c r="R313" s="107"/>
      <c r="S313" s="107"/>
    </row>
    <row r="314" spans="1:19" s="106" customFormat="1" ht="15" customHeight="1">
      <c r="A314" s="110"/>
      <c r="B314" s="111"/>
      <c r="C314" s="182"/>
      <c r="D314" s="183"/>
      <c r="E314" s="184"/>
      <c r="F314" s="115"/>
      <c r="G314" s="107"/>
      <c r="H314" s="107"/>
      <c r="I314" s="107"/>
      <c r="J314" s="107"/>
      <c r="K314" s="107"/>
      <c r="L314" s="107"/>
      <c r="M314" s="107"/>
      <c r="N314" s="107"/>
      <c r="O314" s="107"/>
      <c r="P314" s="107"/>
      <c r="Q314" s="107"/>
      <c r="R314" s="107"/>
      <c r="S314" s="107"/>
    </row>
    <row r="315" spans="1:19" s="106" customFormat="1" ht="15" customHeight="1">
      <c r="A315" s="110"/>
      <c r="B315" s="111"/>
      <c r="C315" s="182"/>
      <c r="D315" s="183"/>
      <c r="E315" s="184"/>
      <c r="F315" s="115"/>
      <c r="G315" s="107"/>
      <c r="H315" s="107"/>
      <c r="I315" s="107"/>
      <c r="J315" s="107"/>
      <c r="K315" s="107"/>
      <c r="L315" s="107"/>
      <c r="M315" s="107"/>
      <c r="N315" s="107"/>
      <c r="O315" s="107"/>
      <c r="P315" s="107"/>
      <c r="Q315" s="107"/>
      <c r="R315" s="107"/>
      <c r="S315" s="107"/>
    </row>
    <row r="316" spans="1:19" s="106" customFormat="1" ht="15" customHeight="1">
      <c r="A316" s="110"/>
      <c r="B316" s="111"/>
      <c r="C316" s="182"/>
      <c r="D316" s="183"/>
      <c r="E316" s="184"/>
      <c r="F316" s="115"/>
      <c r="G316" s="107"/>
      <c r="H316" s="107"/>
      <c r="I316" s="107"/>
      <c r="J316" s="107"/>
      <c r="K316" s="107"/>
      <c r="L316" s="107"/>
      <c r="M316" s="107"/>
      <c r="N316" s="107"/>
      <c r="O316" s="107"/>
      <c r="P316" s="107"/>
      <c r="Q316" s="107"/>
      <c r="R316" s="107"/>
      <c r="S316" s="107"/>
    </row>
    <row r="317" spans="1:19" s="106" customFormat="1" ht="15" customHeight="1">
      <c r="A317" s="110"/>
      <c r="B317" s="111"/>
      <c r="C317" s="182"/>
      <c r="D317" s="183"/>
      <c r="E317" s="184"/>
      <c r="F317" s="115"/>
      <c r="G317" s="107"/>
      <c r="H317" s="107"/>
      <c r="I317" s="107"/>
      <c r="J317" s="107"/>
      <c r="K317" s="107"/>
      <c r="L317" s="107"/>
      <c r="M317" s="107"/>
      <c r="N317" s="107"/>
      <c r="O317" s="107"/>
      <c r="P317" s="107"/>
      <c r="Q317" s="107"/>
      <c r="R317" s="107"/>
      <c r="S317" s="107"/>
    </row>
    <row r="318" spans="1:19" s="106" customFormat="1" ht="15" customHeight="1">
      <c r="A318" s="110"/>
      <c r="B318" s="111"/>
      <c r="C318" s="182"/>
      <c r="D318" s="183"/>
      <c r="E318" s="184"/>
      <c r="F318" s="115"/>
      <c r="G318" s="107"/>
      <c r="H318" s="107"/>
      <c r="I318" s="107"/>
      <c r="J318" s="107"/>
      <c r="K318" s="107"/>
      <c r="L318" s="107"/>
      <c r="M318" s="107"/>
      <c r="N318" s="107"/>
      <c r="O318" s="107"/>
      <c r="P318" s="107"/>
      <c r="Q318" s="107"/>
      <c r="R318" s="107"/>
      <c r="S318" s="107"/>
    </row>
    <row r="319" spans="1:19" s="106" customFormat="1" ht="15" customHeight="1">
      <c r="A319" s="110"/>
      <c r="B319" s="111"/>
      <c r="C319" s="182"/>
      <c r="D319" s="183"/>
      <c r="E319" s="184"/>
      <c r="F319" s="115"/>
      <c r="G319" s="107"/>
      <c r="H319" s="107"/>
      <c r="I319" s="107"/>
      <c r="J319" s="107"/>
      <c r="K319" s="107"/>
      <c r="L319" s="107"/>
      <c r="M319" s="107"/>
      <c r="N319" s="107"/>
      <c r="O319" s="107"/>
      <c r="P319" s="107"/>
      <c r="Q319" s="107"/>
      <c r="R319" s="107"/>
      <c r="S319" s="107"/>
    </row>
    <row r="320" spans="1:19" s="106" customFormat="1" ht="15" customHeight="1">
      <c r="A320" s="110"/>
      <c r="B320" s="111"/>
      <c r="C320" s="182"/>
      <c r="D320" s="183"/>
      <c r="E320" s="184"/>
      <c r="F320" s="115"/>
      <c r="G320" s="107"/>
      <c r="H320" s="107"/>
      <c r="I320" s="107"/>
      <c r="J320" s="107"/>
      <c r="K320" s="107"/>
      <c r="L320" s="107"/>
      <c r="M320" s="107"/>
      <c r="N320" s="107"/>
      <c r="O320" s="107"/>
      <c r="P320" s="107"/>
      <c r="Q320" s="107"/>
      <c r="R320" s="107"/>
      <c r="S320" s="107"/>
    </row>
    <row r="321" spans="1:19" s="106" customFormat="1" ht="15" customHeight="1">
      <c r="A321" s="110"/>
      <c r="B321" s="111"/>
      <c r="C321" s="182"/>
      <c r="D321" s="183"/>
      <c r="E321" s="184"/>
      <c r="F321" s="115"/>
      <c r="G321" s="107"/>
      <c r="H321" s="107"/>
      <c r="I321" s="107"/>
      <c r="J321" s="107"/>
      <c r="K321" s="107"/>
      <c r="L321" s="107"/>
      <c r="M321" s="107"/>
      <c r="N321" s="107"/>
      <c r="O321" s="107"/>
      <c r="P321" s="107"/>
      <c r="Q321" s="107"/>
      <c r="R321" s="107"/>
      <c r="S321" s="107"/>
    </row>
    <row r="322" spans="1:19" s="106" customFormat="1" ht="15" customHeight="1">
      <c r="A322" s="110"/>
      <c r="B322" s="111"/>
      <c r="C322" s="182"/>
      <c r="D322" s="183"/>
      <c r="E322" s="184"/>
      <c r="F322" s="115"/>
      <c r="G322" s="107"/>
      <c r="H322" s="107"/>
      <c r="I322" s="107"/>
      <c r="J322" s="107"/>
      <c r="K322" s="107"/>
      <c r="L322" s="107"/>
      <c r="M322" s="107"/>
      <c r="N322" s="107"/>
      <c r="O322" s="107"/>
      <c r="P322" s="107"/>
      <c r="Q322" s="107"/>
      <c r="R322" s="107"/>
      <c r="S322" s="107"/>
    </row>
    <row r="323" spans="1:19" s="106" customFormat="1" ht="15" customHeight="1">
      <c r="A323" s="110"/>
      <c r="B323" s="111"/>
      <c r="C323" s="182"/>
      <c r="D323" s="183"/>
      <c r="E323" s="184"/>
      <c r="F323" s="115"/>
      <c r="G323" s="107"/>
      <c r="H323" s="107"/>
      <c r="I323" s="107"/>
      <c r="J323" s="107"/>
      <c r="K323" s="107"/>
      <c r="L323" s="107"/>
      <c r="M323" s="107"/>
      <c r="N323" s="107"/>
      <c r="O323" s="107"/>
      <c r="P323" s="107"/>
      <c r="Q323" s="107"/>
      <c r="R323" s="107"/>
      <c r="S323" s="107"/>
    </row>
    <row r="324" spans="1:19" s="106" customFormat="1" ht="15" customHeight="1">
      <c r="A324" s="110"/>
      <c r="B324" s="111"/>
      <c r="C324" s="182"/>
      <c r="D324" s="183"/>
      <c r="E324" s="184"/>
      <c r="F324" s="115"/>
      <c r="G324" s="107"/>
      <c r="H324" s="107"/>
      <c r="I324" s="107"/>
      <c r="J324" s="107"/>
      <c r="K324" s="107"/>
      <c r="L324" s="107"/>
      <c r="M324" s="107"/>
      <c r="N324" s="107"/>
      <c r="O324" s="107"/>
      <c r="P324" s="107"/>
      <c r="Q324" s="107"/>
      <c r="R324" s="107"/>
      <c r="S324" s="107"/>
    </row>
    <row r="325" spans="1:19" s="106" customFormat="1" ht="15" customHeight="1">
      <c r="A325" s="110"/>
      <c r="B325" s="111"/>
      <c r="C325" s="182"/>
      <c r="D325" s="183"/>
      <c r="E325" s="184"/>
      <c r="F325" s="115"/>
      <c r="G325" s="107"/>
      <c r="H325" s="107"/>
      <c r="I325" s="107"/>
      <c r="J325" s="107"/>
      <c r="K325" s="107"/>
      <c r="L325" s="107"/>
      <c r="M325" s="107"/>
      <c r="N325" s="107"/>
      <c r="O325" s="107"/>
      <c r="P325" s="107"/>
      <c r="Q325" s="107"/>
      <c r="R325" s="107"/>
      <c r="S325" s="107"/>
    </row>
    <row r="326" spans="1:19" s="106" customFormat="1" ht="15" customHeight="1">
      <c r="A326" s="110"/>
      <c r="B326" s="111"/>
      <c r="C326" s="182"/>
      <c r="D326" s="183"/>
      <c r="E326" s="184"/>
      <c r="F326" s="115"/>
      <c r="G326" s="107"/>
      <c r="H326" s="107"/>
      <c r="I326" s="107"/>
      <c r="J326" s="107"/>
      <c r="K326" s="107"/>
      <c r="L326" s="107"/>
      <c r="M326" s="107"/>
      <c r="N326" s="107"/>
      <c r="O326" s="107"/>
      <c r="P326" s="107"/>
      <c r="Q326" s="107"/>
      <c r="R326" s="107"/>
      <c r="S326" s="107"/>
    </row>
    <row r="327" spans="1:19" s="106" customFormat="1" ht="15" customHeight="1">
      <c r="A327" s="110"/>
      <c r="B327" s="111"/>
      <c r="C327" s="182"/>
      <c r="D327" s="183"/>
      <c r="E327" s="184"/>
      <c r="F327" s="115"/>
      <c r="G327" s="107"/>
      <c r="H327" s="107"/>
      <c r="I327" s="107"/>
      <c r="J327" s="107"/>
      <c r="K327" s="107"/>
      <c r="L327" s="107"/>
      <c r="M327" s="107"/>
      <c r="N327" s="107"/>
      <c r="O327" s="107"/>
      <c r="P327" s="107"/>
      <c r="Q327" s="107"/>
      <c r="R327" s="107"/>
      <c r="S327" s="107"/>
    </row>
    <row r="328" spans="1:19" s="106" customFormat="1" ht="15" customHeight="1">
      <c r="A328" s="110"/>
      <c r="B328" s="111"/>
      <c r="C328" s="182"/>
      <c r="D328" s="183"/>
      <c r="E328" s="184"/>
      <c r="F328" s="115"/>
      <c r="G328" s="107"/>
      <c r="H328" s="107"/>
      <c r="I328" s="107"/>
      <c r="J328" s="107"/>
      <c r="K328" s="107"/>
      <c r="L328" s="107"/>
      <c r="M328" s="107"/>
      <c r="N328" s="107"/>
      <c r="O328" s="107"/>
      <c r="P328" s="107"/>
      <c r="Q328" s="107"/>
      <c r="R328" s="107"/>
      <c r="S328" s="107"/>
    </row>
    <row r="329" spans="1:19" s="106" customFormat="1" ht="15" customHeight="1">
      <c r="A329" s="110"/>
      <c r="B329" s="111"/>
      <c r="C329" s="182"/>
      <c r="D329" s="183"/>
      <c r="E329" s="184"/>
      <c r="F329" s="115"/>
      <c r="G329" s="107"/>
      <c r="H329" s="107"/>
      <c r="I329" s="107"/>
      <c r="J329" s="107"/>
      <c r="K329" s="107"/>
      <c r="L329" s="107"/>
      <c r="M329" s="107"/>
      <c r="N329" s="107"/>
      <c r="O329" s="107"/>
      <c r="P329" s="107"/>
      <c r="Q329" s="107"/>
      <c r="R329" s="107"/>
      <c r="S329" s="107"/>
    </row>
    <row r="330" spans="1:19" s="106" customFormat="1" ht="15" customHeight="1">
      <c r="A330" s="110"/>
      <c r="B330" s="111"/>
      <c r="C330" s="182"/>
      <c r="D330" s="183"/>
      <c r="E330" s="184"/>
      <c r="F330" s="115"/>
      <c r="G330" s="107"/>
      <c r="H330" s="107"/>
      <c r="I330" s="107"/>
      <c r="J330" s="107"/>
      <c r="K330" s="107"/>
      <c r="L330" s="107"/>
      <c r="M330" s="107"/>
      <c r="N330" s="107"/>
      <c r="O330" s="107"/>
      <c r="P330" s="107"/>
      <c r="Q330" s="107"/>
      <c r="R330" s="107"/>
      <c r="S330" s="107"/>
    </row>
    <row r="331" spans="1:19" s="106" customFormat="1" ht="15" customHeight="1">
      <c r="A331" s="110"/>
      <c r="B331" s="111"/>
      <c r="C331" s="182"/>
      <c r="D331" s="183"/>
      <c r="E331" s="184"/>
      <c r="F331" s="115"/>
      <c r="G331" s="107"/>
      <c r="H331" s="107"/>
      <c r="I331" s="107"/>
      <c r="J331" s="107"/>
      <c r="K331" s="107"/>
      <c r="L331" s="107"/>
      <c r="M331" s="107"/>
      <c r="N331" s="107"/>
      <c r="O331" s="107"/>
      <c r="P331" s="107"/>
      <c r="Q331" s="107"/>
      <c r="R331" s="107"/>
      <c r="S331" s="107"/>
    </row>
    <row r="332" spans="1:19" s="106" customFormat="1" ht="15" customHeight="1">
      <c r="A332" s="110"/>
      <c r="B332" s="111"/>
      <c r="C332" s="182"/>
      <c r="D332" s="183"/>
      <c r="E332" s="184"/>
      <c r="F332" s="115"/>
      <c r="G332" s="107"/>
      <c r="H332" s="107"/>
      <c r="I332" s="107"/>
      <c r="J332" s="107"/>
      <c r="K332" s="107"/>
      <c r="L332" s="107"/>
      <c r="M332" s="107"/>
      <c r="N332" s="107"/>
      <c r="O332" s="107"/>
      <c r="P332" s="107"/>
      <c r="Q332" s="107"/>
      <c r="R332" s="107"/>
      <c r="S332" s="107"/>
    </row>
    <row r="333" spans="1:19" s="106" customFormat="1" ht="15" customHeight="1">
      <c r="A333" s="110"/>
      <c r="B333" s="111"/>
      <c r="C333" s="182"/>
      <c r="D333" s="183"/>
      <c r="E333" s="184"/>
      <c r="F333" s="115"/>
      <c r="G333" s="107"/>
      <c r="H333" s="107"/>
      <c r="I333" s="107"/>
      <c r="J333" s="107"/>
      <c r="K333" s="107"/>
      <c r="L333" s="107"/>
      <c r="M333" s="107"/>
      <c r="N333" s="107"/>
      <c r="O333" s="107"/>
      <c r="P333" s="107"/>
      <c r="Q333" s="107"/>
      <c r="R333" s="107"/>
      <c r="S333" s="107"/>
    </row>
    <row r="334" spans="1:19" s="106" customFormat="1" ht="15" customHeight="1">
      <c r="A334" s="110"/>
      <c r="B334" s="111"/>
      <c r="C334" s="182"/>
      <c r="D334" s="183"/>
      <c r="E334" s="184"/>
      <c r="F334" s="115"/>
      <c r="G334" s="107"/>
      <c r="H334" s="107"/>
      <c r="I334" s="107"/>
      <c r="J334" s="107"/>
      <c r="K334" s="107"/>
      <c r="L334" s="107"/>
      <c r="M334" s="107"/>
      <c r="N334" s="107"/>
      <c r="O334" s="107"/>
      <c r="P334" s="107"/>
      <c r="Q334" s="107"/>
      <c r="R334" s="107"/>
      <c r="S334" s="107"/>
    </row>
    <row r="335" spans="1:19" s="106" customFormat="1" ht="15" customHeight="1">
      <c r="A335" s="110"/>
      <c r="B335" s="111"/>
      <c r="C335" s="182"/>
      <c r="D335" s="183"/>
      <c r="E335" s="184"/>
      <c r="F335" s="115"/>
      <c r="G335" s="107"/>
      <c r="H335" s="107"/>
      <c r="I335" s="107"/>
      <c r="J335" s="107"/>
      <c r="K335" s="107"/>
      <c r="L335" s="107"/>
      <c r="M335" s="107"/>
      <c r="N335" s="107"/>
      <c r="O335" s="107"/>
      <c r="P335" s="107"/>
      <c r="Q335" s="107"/>
      <c r="R335" s="107"/>
      <c r="S335" s="107"/>
    </row>
    <row r="336" spans="1:19" s="106" customFormat="1" ht="15" customHeight="1">
      <c r="A336" s="110"/>
      <c r="B336" s="111"/>
      <c r="C336" s="182"/>
      <c r="D336" s="183"/>
      <c r="E336" s="184"/>
      <c r="F336" s="115"/>
      <c r="G336" s="107"/>
      <c r="H336" s="107"/>
      <c r="I336" s="107"/>
      <c r="J336" s="107"/>
      <c r="K336" s="107"/>
      <c r="L336" s="107"/>
      <c r="M336" s="107"/>
      <c r="N336" s="107"/>
      <c r="O336" s="107"/>
      <c r="P336" s="107"/>
      <c r="Q336" s="107"/>
      <c r="R336" s="107"/>
      <c r="S336" s="107"/>
    </row>
    <row r="337" spans="1:19" s="106" customFormat="1" ht="15" customHeight="1">
      <c r="A337" s="110"/>
      <c r="B337" s="111"/>
      <c r="C337" s="182"/>
      <c r="D337" s="183"/>
      <c r="E337" s="184"/>
      <c r="F337" s="115"/>
      <c r="G337" s="107"/>
      <c r="H337" s="107"/>
      <c r="I337" s="107"/>
      <c r="J337" s="107"/>
      <c r="K337" s="107"/>
      <c r="L337" s="107"/>
      <c r="M337" s="107"/>
      <c r="N337" s="107"/>
      <c r="O337" s="107"/>
      <c r="P337" s="107"/>
      <c r="Q337" s="107"/>
      <c r="R337" s="107"/>
      <c r="S337" s="107"/>
    </row>
    <row r="338" spans="1:19" s="106" customFormat="1" ht="15" customHeight="1">
      <c r="A338" s="110"/>
      <c r="B338" s="111"/>
      <c r="C338" s="182"/>
      <c r="D338" s="183"/>
      <c r="E338" s="184"/>
      <c r="F338" s="115"/>
      <c r="G338" s="107"/>
      <c r="H338" s="107"/>
      <c r="I338" s="107"/>
      <c r="J338" s="107"/>
      <c r="K338" s="107"/>
      <c r="L338" s="107"/>
      <c r="M338" s="107"/>
      <c r="N338" s="107"/>
      <c r="O338" s="107"/>
      <c r="P338" s="107"/>
      <c r="Q338" s="107"/>
      <c r="R338" s="107"/>
      <c r="S338" s="107"/>
    </row>
    <row r="339" spans="1:19" s="106" customFormat="1" ht="15" customHeight="1">
      <c r="A339" s="110"/>
      <c r="B339" s="111"/>
      <c r="C339" s="182"/>
      <c r="D339" s="183"/>
      <c r="E339" s="184"/>
      <c r="F339" s="115"/>
      <c r="G339" s="107"/>
      <c r="H339" s="107"/>
      <c r="I339" s="107"/>
      <c r="J339" s="107"/>
      <c r="K339" s="107"/>
      <c r="L339" s="107"/>
      <c r="M339" s="107"/>
      <c r="N339" s="107"/>
      <c r="O339" s="107"/>
      <c r="P339" s="107"/>
      <c r="Q339" s="107"/>
      <c r="R339" s="107"/>
      <c r="S339" s="107"/>
    </row>
    <row r="340" spans="1:19" s="106" customFormat="1" ht="15" customHeight="1">
      <c r="A340" s="110"/>
      <c r="B340" s="111"/>
      <c r="C340" s="182"/>
      <c r="D340" s="183"/>
      <c r="E340" s="184"/>
      <c r="F340" s="115"/>
      <c r="G340" s="107"/>
      <c r="H340" s="107"/>
      <c r="I340" s="107"/>
      <c r="J340" s="107"/>
      <c r="K340" s="107"/>
      <c r="L340" s="107"/>
      <c r="M340" s="107"/>
      <c r="N340" s="107"/>
      <c r="O340" s="107"/>
      <c r="P340" s="107"/>
      <c r="Q340" s="107"/>
      <c r="R340" s="107"/>
      <c r="S340" s="107"/>
    </row>
    <row r="341" spans="1:19" s="106" customFormat="1" ht="15" customHeight="1">
      <c r="A341" s="110"/>
      <c r="B341" s="111"/>
      <c r="C341" s="182"/>
      <c r="D341" s="183"/>
      <c r="E341" s="184"/>
      <c r="F341" s="115"/>
      <c r="G341" s="107"/>
      <c r="H341" s="107"/>
      <c r="I341" s="107"/>
      <c r="J341" s="107"/>
      <c r="K341" s="107"/>
      <c r="L341" s="107"/>
      <c r="M341" s="107"/>
      <c r="N341" s="107"/>
      <c r="O341" s="107"/>
      <c r="P341" s="107"/>
      <c r="Q341" s="107"/>
      <c r="R341" s="107"/>
      <c r="S341" s="107"/>
    </row>
    <row r="342" spans="1:19" s="106" customFormat="1" ht="15" customHeight="1">
      <c r="A342" s="110"/>
      <c r="B342" s="111"/>
      <c r="C342" s="182"/>
      <c r="D342" s="183"/>
      <c r="E342" s="184"/>
      <c r="F342" s="115"/>
      <c r="G342" s="107"/>
      <c r="H342" s="107"/>
      <c r="I342" s="107"/>
      <c r="J342" s="107"/>
      <c r="K342" s="107"/>
      <c r="L342" s="107"/>
      <c r="M342" s="107"/>
      <c r="N342" s="107"/>
      <c r="O342" s="107"/>
      <c r="P342" s="107"/>
      <c r="Q342" s="107"/>
      <c r="R342" s="107"/>
      <c r="S342" s="107"/>
    </row>
    <row r="343" spans="1:19" s="106" customFormat="1" ht="15" customHeight="1">
      <c r="A343" s="110"/>
      <c r="B343" s="111"/>
      <c r="C343" s="182"/>
      <c r="D343" s="183"/>
      <c r="E343" s="184"/>
      <c r="F343" s="115"/>
      <c r="G343" s="107"/>
      <c r="H343" s="107"/>
      <c r="I343" s="107"/>
      <c r="J343" s="107"/>
      <c r="K343" s="107"/>
      <c r="L343" s="107"/>
      <c r="M343" s="107"/>
      <c r="N343" s="107"/>
      <c r="O343" s="107"/>
      <c r="P343" s="107"/>
      <c r="Q343" s="107"/>
      <c r="R343" s="107"/>
      <c r="S343" s="107"/>
    </row>
    <row r="344" spans="1:19" s="106" customFormat="1" ht="15" customHeight="1">
      <c r="A344" s="110"/>
      <c r="B344" s="111"/>
      <c r="C344" s="182"/>
      <c r="D344" s="183"/>
      <c r="E344" s="184"/>
      <c r="F344" s="115"/>
      <c r="G344" s="107"/>
      <c r="H344" s="107"/>
      <c r="I344" s="107"/>
      <c r="J344" s="107"/>
      <c r="K344" s="107"/>
      <c r="L344" s="107"/>
      <c r="M344" s="107"/>
      <c r="N344" s="107"/>
      <c r="O344" s="107"/>
      <c r="P344" s="107"/>
      <c r="Q344" s="107"/>
      <c r="R344" s="107"/>
      <c r="S344" s="107"/>
    </row>
    <row r="345" spans="1:19" s="106" customFormat="1" ht="15" customHeight="1">
      <c r="A345" s="110"/>
      <c r="B345" s="111"/>
      <c r="C345" s="182"/>
      <c r="D345" s="183"/>
      <c r="E345" s="184"/>
      <c r="F345" s="115"/>
      <c r="G345" s="107"/>
      <c r="H345" s="107"/>
      <c r="I345" s="107"/>
      <c r="J345" s="107"/>
      <c r="K345" s="107"/>
      <c r="L345" s="107"/>
      <c r="M345" s="107"/>
      <c r="N345" s="107"/>
      <c r="O345" s="107"/>
      <c r="P345" s="107"/>
      <c r="Q345" s="107"/>
      <c r="R345" s="107"/>
      <c r="S345" s="107"/>
    </row>
    <row r="346" spans="1:19" s="106" customFormat="1" ht="15" customHeight="1">
      <c r="A346" s="110"/>
      <c r="B346" s="111"/>
      <c r="C346" s="182"/>
      <c r="D346" s="183"/>
      <c r="E346" s="184"/>
      <c r="F346" s="115"/>
      <c r="G346" s="107"/>
      <c r="H346" s="107"/>
      <c r="I346" s="107"/>
      <c r="J346" s="107"/>
      <c r="K346" s="107"/>
      <c r="L346" s="107"/>
      <c r="M346" s="107"/>
      <c r="N346" s="107"/>
      <c r="O346" s="107"/>
      <c r="P346" s="107"/>
      <c r="Q346" s="107"/>
      <c r="R346" s="107"/>
      <c r="S346" s="107"/>
    </row>
    <row r="347" spans="1:19" s="106" customFormat="1" ht="15" customHeight="1">
      <c r="A347" s="110"/>
      <c r="B347" s="111"/>
      <c r="C347" s="182"/>
      <c r="D347" s="183"/>
      <c r="E347" s="184"/>
      <c r="F347" s="115"/>
      <c r="G347" s="107"/>
      <c r="H347" s="107"/>
      <c r="I347" s="107"/>
      <c r="J347" s="107"/>
      <c r="K347" s="107"/>
      <c r="L347" s="107"/>
      <c r="M347" s="107"/>
      <c r="N347" s="107"/>
      <c r="O347" s="107"/>
      <c r="P347" s="107"/>
      <c r="Q347" s="107"/>
      <c r="R347" s="107"/>
      <c r="S347" s="107"/>
    </row>
    <row r="348" spans="1:19" s="106" customFormat="1" ht="15" customHeight="1">
      <c r="A348" s="110"/>
      <c r="B348" s="111"/>
      <c r="C348" s="182"/>
      <c r="D348" s="183"/>
      <c r="E348" s="184"/>
      <c r="F348" s="115"/>
      <c r="G348" s="107"/>
      <c r="H348" s="107"/>
      <c r="I348" s="107"/>
      <c r="J348" s="107"/>
      <c r="K348" s="107"/>
      <c r="L348" s="107"/>
      <c r="M348" s="107"/>
      <c r="N348" s="107"/>
      <c r="O348" s="107"/>
      <c r="P348" s="107"/>
      <c r="Q348" s="107"/>
      <c r="R348" s="107"/>
      <c r="S348" s="107"/>
    </row>
    <row r="349" spans="1:19" s="106" customFormat="1" ht="15" customHeight="1">
      <c r="A349" s="110"/>
      <c r="B349" s="111"/>
      <c r="C349" s="182"/>
      <c r="D349" s="183"/>
      <c r="E349" s="184"/>
      <c r="F349" s="115"/>
      <c r="G349" s="107"/>
      <c r="H349" s="107"/>
      <c r="I349" s="107"/>
      <c r="J349" s="107"/>
      <c r="K349" s="107"/>
      <c r="L349" s="107"/>
      <c r="M349" s="107"/>
      <c r="N349" s="107"/>
      <c r="O349" s="107"/>
      <c r="P349" s="107"/>
      <c r="Q349" s="107"/>
      <c r="R349" s="107"/>
      <c r="S349" s="107"/>
    </row>
    <row r="350" spans="1:19" s="106" customFormat="1" ht="15" customHeight="1">
      <c r="A350" s="110"/>
      <c r="B350" s="111"/>
      <c r="C350" s="182"/>
      <c r="D350" s="183"/>
      <c r="E350" s="184"/>
      <c r="F350" s="115"/>
      <c r="G350" s="107"/>
      <c r="H350" s="107"/>
      <c r="I350" s="107"/>
      <c r="J350" s="107"/>
      <c r="K350" s="107"/>
      <c r="L350" s="107"/>
      <c r="M350" s="107"/>
      <c r="N350" s="107"/>
      <c r="O350" s="107"/>
      <c r="P350" s="107"/>
      <c r="Q350" s="107"/>
      <c r="R350" s="107"/>
      <c r="S350" s="107"/>
    </row>
    <row r="351" spans="1:19" s="106" customFormat="1" ht="15" customHeight="1">
      <c r="A351" s="110"/>
      <c r="B351" s="111"/>
      <c r="C351" s="182"/>
      <c r="D351" s="183"/>
      <c r="E351" s="184"/>
      <c r="F351" s="115"/>
      <c r="G351" s="107"/>
      <c r="H351" s="107"/>
      <c r="I351" s="107"/>
      <c r="J351" s="107"/>
      <c r="K351" s="107"/>
      <c r="L351" s="107"/>
      <c r="M351" s="107"/>
      <c r="N351" s="107"/>
      <c r="O351" s="107"/>
      <c r="P351" s="107"/>
      <c r="Q351" s="107"/>
      <c r="R351" s="107"/>
      <c r="S351" s="107"/>
    </row>
    <row r="352" spans="1:19" s="106" customFormat="1" ht="15" customHeight="1">
      <c r="A352" s="110"/>
      <c r="B352" s="111"/>
      <c r="C352" s="182"/>
      <c r="D352" s="183"/>
      <c r="E352" s="184"/>
      <c r="F352" s="115"/>
      <c r="G352" s="107"/>
      <c r="H352" s="107"/>
      <c r="I352" s="107"/>
      <c r="J352" s="107"/>
      <c r="K352" s="107"/>
      <c r="L352" s="107"/>
      <c r="M352" s="107"/>
      <c r="N352" s="107"/>
      <c r="O352" s="107"/>
      <c r="P352" s="107"/>
      <c r="Q352" s="107"/>
      <c r="R352" s="107"/>
      <c r="S352" s="107"/>
    </row>
    <row r="353" spans="1:19" s="106" customFormat="1" ht="15" customHeight="1">
      <c r="A353" s="110"/>
      <c r="B353" s="111"/>
      <c r="C353" s="182"/>
      <c r="D353" s="183"/>
      <c r="E353" s="184"/>
      <c r="F353" s="115"/>
      <c r="G353" s="107"/>
      <c r="H353" s="107"/>
      <c r="I353" s="107"/>
      <c r="J353" s="107"/>
      <c r="K353" s="107"/>
      <c r="L353" s="107"/>
      <c r="M353" s="107"/>
      <c r="N353" s="107"/>
      <c r="O353" s="107"/>
      <c r="P353" s="107"/>
      <c r="Q353" s="107"/>
      <c r="R353" s="107"/>
      <c r="S353" s="107"/>
    </row>
    <row r="354" spans="1:19" s="106" customFormat="1" ht="15" customHeight="1">
      <c r="A354" s="110"/>
      <c r="B354" s="111"/>
      <c r="C354" s="182"/>
      <c r="D354" s="183"/>
      <c r="E354" s="184"/>
      <c r="F354" s="115"/>
      <c r="G354" s="107"/>
      <c r="H354" s="107"/>
      <c r="I354" s="107"/>
      <c r="J354" s="107"/>
      <c r="K354" s="107"/>
      <c r="L354" s="107"/>
      <c r="M354" s="107"/>
      <c r="N354" s="107"/>
      <c r="O354" s="107"/>
      <c r="P354" s="107"/>
      <c r="Q354" s="107"/>
      <c r="R354" s="107"/>
      <c r="S354" s="107"/>
    </row>
    <row r="355" spans="1:19" s="106" customFormat="1" ht="15" customHeight="1">
      <c r="A355" s="110"/>
      <c r="B355" s="111"/>
      <c r="C355" s="182"/>
      <c r="D355" s="183"/>
      <c r="E355" s="184"/>
      <c r="F355" s="115"/>
      <c r="G355" s="107"/>
      <c r="H355" s="107"/>
      <c r="I355" s="107"/>
      <c r="J355" s="107"/>
      <c r="K355" s="107"/>
      <c r="L355" s="107"/>
      <c r="M355" s="107"/>
      <c r="N355" s="107"/>
      <c r="O355" s="107"/>
      <c r="P355" s="107"/>
      <c r="Q355" s="107"/>
      <c r="R355" s="107"/>
      <c r="S355" s="107"/>
    </row>
    <row r="356" spans="1:19" s="106" customFormat="1" ht="15" customHeight="1">
      <c r="A356" s="110"/>
      <c r="B356" s="111"/>
      <c r="C356" s="182"/>
      <c r="D356" s="183"/>
      <c r="E356" s="184"/>
      <c r="F356" s="115"/>
      <c r="G356" s="107"/>
      <c r="H356" s="107"/>
      <c r="I356" s="107"/>
      <c r="J356" s="107"/>
      <c r="K356" s="107"/>
      <c r="L356" s="107"/>
      <c r="M356" s="107"/>
      <c r="N356" s="107"/>
      <c r="O356" s="107"/>
      <c r="P356" s="107"/>
      <c r="Q356" s="107"/>
      <c r="R356" s="107"/>
      <c r="S356" s="107"/>
    </row>
    <row r="357" spans="1:19" s="106" customFormat="1" ht="15" customHeight="1">
      <c r="A357" s="110"/>
      <c r="B357" s="111"/>
      <c r="C357" s="182"/>
      <c r="D357" s="183"/>
      <c r="E357" s="184"/>
      <c r="F357" s="115"/>
      <c r="G357" s="107"/>
      <c r="H357" s="107"/>
      <c r="I357" s="107"/>
      <c r="J357" s="107"/>
      <c r="K357" s="107"/>
      <c r="L357" s="107"/>
      <c r="M357" s="107"/>
      <c r="N357" s="107"/>
      <c r="O357" s="107"/>
      <c r="P357" s="107"/>
      <c r="Q357" s="107"/>
      <c r="R357" s="107"/>
      <c r="S357" s="107"/>
    </row>
    <row r="358" spans="1:19" s="106" customFormat="1" ht="15" customHeight="1">
      <c r="A358" s="110"/>
      <c r="B358" s="111"/>
      <c r="C358" s="182"/>
      <c r="D358" s="183"/>
      <c r="E358" s="184"/>
      <c r="F358" s="115"/>
      <c r="G358" s="107"/>
      <c r="H358" s="107"/>
      <c r="I358" s="107"/>
      <c r="J358" s="107"/>
      <c r="K358" s="107"/>
      <c r="L358" s="107"/>
      <c r="M358" s="107"/>
      <c r="N358" s="107"/>
      <c r="O358" s="107"/>
      <c r="P358" s="107"/>
      <c r="Q358" s="107"/>
      <c r="R358" s="107"/>
      <c r="S358" s="107"/>
    </row>
    <row r="359" spans="1:19" s="106" customFormat="1" ht="15" customHeight="1">
      <c r="A359" s="110"/>
      <c r="B359" s="111"/>
      <c r="C359" s="182"/>
      <c r="D359" s="183"/>
      <c r="E359" s="184"/>
      <c r="F359" s="115"/>
      <c r="G359" s="107"/>
      <c r="H359" s="107"/>
      <c r="I359" s="107"/>
      <c r="J359" s="107"/>
      <c r="K359" s="107"/>
      <c r="L359" s="107"/>
      <c r="M359" s="107"/>
      <c r="N359" s="107"/>
      <c r="O359" s="107"/>
      <c r="P359" s="107"/>
      <c r="Q359" s="107"/>
      <c r="R359" s="107"/>
      <c r="S359" s="107"/>
    </row>
    <row r="360" spans="1:19" s="106" customFormat="1" ht="15" customHeight="1">
      <c r="A360" s="110"/>
      <c r="B360" s="111"/>
      <c r="C360" s="182"/>
      <c r="D360" s="183"/>
      <c r="E360" s="184"/>
      <c r="F360" s="115"/>
      <c r="G360" s="107"/>
      <c r="H360" s="107"/>
      <c r="I360" s="107"/>
      <c r="J360" s="107"/>
      <c r="K360" s="107"/>
      <c r="L360" s="107"/>
      <c r="M360" s="107"/>
      <c r="N360" s="107"/>
      <c r="O360" s="107"/>
      <c r="P360" s="107"/>
      <c r="Q360" s="107"/>
      <c r="R360" s="107"/>
      <c r="S360" s="107"/>
    </row>
    <row r="361" spans="1:19" s="106" customFormat="1" ht="15" customHeight="1">
      <c r="A361" s="110"/>
      <c r="B361" s="111"/>
      <c r="C361" s="182"/>
      <c r="D361" s="183"/>
      <c r="E361" s="184"/>
      <c r="F361" s="115"/>
      <c r="G361" s="107"/>
      <c r="H361" s="107"/>
      <c r="I361" s="107"/>
      <c r="J361" s="107"/>
      <c r="K361" s="107"/>
      <c r="L361" s="107"/>
      <c r="M361" s="107"/>
      <c r="N361" s="107"/>
      <c r="O361" s="107"/>
      <c r="P361" s="107"/>
      <c r="Q361" s="107"/>
      <c r="R361" s="107"/>
      <c r="S361" s="107"/>
    </row>
    <row r="362" spans="1:19" s="106" customFormat="1" ht="15" customHeight="1">
      <c r="A362" s="110"/>
      <c r="B362" s="111"/>
      <c r="C362" s="182"/>
      <c r="D362" s="183"/>
      <c r="E362" s="184"/>
      <c r="F362" s="115"/>
      <c r="G362" s="107"/>
      <c r="H362" s="107"/>
      <c r="I362" s="107"/>
      <c r="J362" s="107"/>
      <c r="K362" s="107"/>
      <c r="L362" s="107"/>
      <c r="M362" s="107"/>
      <c r="N362" s="107"/>
      <c r="O362" s="107"/>
      <c r="P362" s="107"/>
      <c r="Q362" s="107"/>
      <c r="R362" s="107"/>
      <c r="S362" s="107"/>
    </row>
    <row r="363" spans="1:19" s="106" customFormat="1" ht="15" customHeight="1">
      <c r="A363" s="110"/>
      <c r="B363" s="111"/>
      <c r="C363" s="182"/>
      <c r="D363" s="183"/>
      <c r="E363" s="184"/>
      <c r="F363" s="115"/>
      <c r="G363" s="107"/>
      <c r="H363" s="107"/>
      <c r="I363" s="107"/>
      <c r="J363" s="107"/>
      <c r="K363" s="107"/>
      <c r="L363" s="107"/>
      <c r="M363" s="107"/>
      <c r="N363" s="107"/>
      <c r="O363" s="107"/>
      <c r="P363" s="107"/>
      <c r="Q363" s="107"/>
      <c r="R363" s="107"/>
      <c r="S363" s="107"/>
    </row>
    <row r="364" spans="1:19" s="106" customFormat="1" ht="15" customHeight="1">
      <c r="A364" s="110"/>
      <c r="B364" s="111"/>
      <c r="C364" s="182"/>
      <c r="D364" s="183"/>
      <c r="E364" s="184"/>
      <c r="F364" s="115"/>
      <c r="G364" s="107"/>
      <c r="H364" s="107"/>
      <c r="I364" s="107"/>
      <c r="J364" s="107"/>
      <c r="K364" s="107"/>
      <c r="L364" s="107"/>
      <c r="M364" s="107"/>
      <c r="N364" s="107"/>
      <c r="O364" s="107"/>
      <c r="P364" s="107"/>
      <c r="Q364" s="107"/>
      <c r="R364" s="107"/>
      <c r="S364" s="107"/>
    </row>
    <row r="365" spans="1:19" s="106" customFormat="1" ht="15" customHeight="1">
      <c r="A365" s="110"/>
      <c r="B365" s="111"/>
      <c r="C365" s="182"/>
      <c r="D365" s="183"/>
      <c r="E365" s="184"/>
      <c r="F365" s="115"/>
      <c r="G365" s="107"/>
      <c r="H365" s="107"/>
      <c r="I365" s="107"/>
      <c r="J365" s="107"/>
      <c r="K365" s="107"/>
      <c r="L365" s="107"/>
      <c r="M365" s="107"/>
      <c r="N365" s="107"/>
      <c r="O365" s="107"/>
      <c r="P365" s="107"/>
      <c r="Q365" s="107"/>
      <c r="R365" s="107"/>
      <c r="S365" s="107"/>
    </row>
    <row r="366" spans="1:19" s="106" customFormat="1" ht="15" customHeight="1">
      <c r="A366" s="110"/>
      <c r="B366" s="111"/>
      <c r="C366" s="182"/>
      <c r="D366" s="183"/>
      <c r="E366" s="184"/>
      <c r="F366" s="115"/>
      <c r="G366" s="107"/>
      <c r="H366" s="107"/>
      <c r="I366" s="107"/>
      <c r="J366" s="107"/>
      <c r="K366" s="107"/>
      <c r="L366" s="107"/>
      <c r="M366" s="107"/>
      <c r="N366" s="107"/>
      <c r="O366" s="107"/>
      <c r="P366" s="107"/>
      <c r="Q366" s="107"/>
      <c r="R366" s="107"/>
      <c r="S366" s="107"/>
    </row>
    <row r="367" spans="1:19" s="106" customFormat="1" ht="15" customHeight="1">
      <c r="A367" s="110"/>
      <c r="B367" s="111"/>
      <c r="C367" s="182"/>
      <c r="D367" s="183"/>
      <c r="E367" s="184"/>
      <c r="F367" s="115"/>
      <c r="G367" s="107"/>
      <c r="H367" s="107"/>
      <c r="I367" s="107"/>
      <c r="J367" s="107"/>
      <c r="K367" s="107"/>
      <c r="L367" s="107"/>
      <c r="M367" s="107"/>
      <c r="N367" s="107"/>
      <c r="O367" s="107"/>
      <c r="P367" s="107"/>
      <c r="Q367" s="107"/>
      <c r="R367" s="107"/>
      <c r="S367" s="107"/>
    </row>
    <row r="368" spans="1:19" s="106" customFormat="1" ht="15" customHeight="1">
      <c r="A368" s="110"/>
      <c r="B368" s="111"/>
      <c r="C368" s="182"/>
      <c r="D368" s="183"/>
      <c r="E368" s="184"/>
      <c r="F368" s="115"/>
      <c r="G368" s="107"/>
      <c r="H368" s="107"/>
      <c r="I368" s="107"/>
      <c r="J368" s="107"/>
      <c r="K368" s="107"/>
      <c r="L368" s="107"/>
      <c r="M368" s="107"/>
      <c r="N368" s="107"/>
      <c r="O368" s="107"/>
      <c r="P368" s="107"/>
      <c r="Q368" s="107"/>
      <c r="R368" s="107"/>
      <c r="S368" s="107"/>
    </row>
    <row r="369" spans="1:19" s="106" customFormat="1" ht="15" customHeight="1">
      <c r="A369" s="110"/>
      <c r="B369" s="111"/>
      <c r="C369" s="182"/>
      <c r="D369" s="183"/>
      <c r="E369" s="184"/>
      <c r="F369" s="115"/>
      <c r="G369" s="107"/>
      <c r="H369" s="107"/>
      <c r="I369" s="107"/>
      <c r="J369" s="107"/>
      <c r="K369" s="107"/>
      <c r="L369" s="107"/>
      <c r="M369" s="107"/>
      <c r="N369" s="107"/>
      <c r="O369" s="107"/>
      <c r="P369" s="107"/>
      <c r="Q369" s="107"/>
      <c r="R369" s="107"/>
      <c r="S369" s="107"/>
    </row>
    <row r="370" spans="1:19" s="106" customFormat="1" ht="15" customHeight="1">
      <c r="A370" s="110"/>
      <c r="B370" s="111"/>
      <c r="C370" s="182"/>
      <c r="D370" s="183"/>
      <c r="E370" s="184"/>
      <c r="F370" s="115"/>
      <c r="G370" s="107"/>
      <c r="H370" s="107"/>
      <c r="I370" s="107"/>
      <c r="J370" s="107"/>
      <c r="K370" s="107"/>
      <c r="L370" s="107"/>
      <c r="M370" s="107"/>
      <c r="N370" s="107"/>
      <c r="O370" s="107"/>
      <c r="P370" s="107"/>
      <c r="Q370" s="107"/>
      <c r="R370" s="107"/>
      <c r="S370" s="107"/>
    </row>
  </sheetData>
  <pageMargins left="0.7" right="0.7" top="0.75" bottom="0.75" header="0.3" footer="0.3"/>
  <pageSetup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view="pageBreakPreview" zoomScale="122" zoomScaleNormal="100" zoomScaleSheetLayoutView="122" workbookViewId="0">
      <selection activeCell="G1" sqref="G1:J1048576"/>
    </sheetView>
  </sheetViews>
  <sheetFormatPr defaultColWidth="8.90625" defaultRowHeight="14.5"/>
  <cols>
    <col min="1" max="1" width="7" style="450" customWidth="1"/>
    <col min="2" max="2" width="52.08984375" style="450" customWidth="1"/>
    <col min="3" max="3" width="7" style="450" bestFit="1" customWidth="1"/>
    <col min="4" max="4" width="9.6328125" style="450" bestFit="1" customWidth="1"/>
    <col min="5" max="5" width="5.36328125" style="450" bestFit="1" customWidth="1"/>
    <col min="6" max="6" width="15.54296875" style="390" bestFit="1" customWidth="1"/>
    <col min="7" max="16384" width="8.90625" style="450"/>
  </cols>
  <sheetData>
    <row r="1" spans="1:6" s="1200" customFormat="1" ht="29">
      <c r="A1" s="445" t="s">
        <v>529</v>
      </c>
      <c r="B1" s="428" t="s">
        <v>1</v>
      </c>
      <c r="C1" s="428" t="s">
        <v>2</v>
      </c>
      <c r="D1" s="1197" t="s">
        <v>426</v>
      </c>
      <c r="E1" s="1198" t="s">
        <v>368</v>
      </c>
      <c r="F1" s="1199" t="s">
        <v>472</v>
      </c>
    </row>
    <row r="2" spans="1:6" s="449" customFormat="1">
      <c r="A2" s="445">
        <v>14</v>
      </c>
      <c r="B2" s="195" t="s">
        <v>859</v>
      </c>
      <c r="C2" s="446"/>
      <c r="D2" s="447"/>
      <c r="E2" s="198"/>
      <c r="F2" s="448"/>
    </row>
    <row r="3" spans="1:6" s="449" customFormat="1">
      <c r="A3" s="445"/>
      <c r="B3" s="195" t="s">
        <v>850</v>
      </c>
      <c r="C3" s="446"/>
      <c r="D3" s="447"/>
      <c r="E3" s="198"/>
      <c r="F3" s="448"/>
    </row>
    <row r="4" spans="1:6" s="449" customFormat="1">
      <c r="A4" s="445"/>
      <c r="B4" s="195"/>
      <c r="C4" s="446"/>
      <c r="D4" s="447"/>
      <c r="E4" s="198"/>
      <c r="F4" s="448"/>
    </row>
    <row r="5" spans="1:6">
      <c r="A5" s="445"/>
      <c r="B5" s="195" t="s">
        <v>1937</v>
      </c>
      <c r="C5" s="446"/>
      <c r="D5" s="447"/>
      <c r="E5" s="198"/>
      <c r="F5" s="448"/>
    </row>
    <row r="6" spans="1:6" s="455" customFormat="1">
      <c r="A6" s="444"/>
      <c r="B6" s="451"/>
      <c r="C6" s="452"/>
      <c r="D6" s="453"/>
      <c r="E6" s="275"/>
      <c r="F6" s="454"/>
    </row>
    <row r="7" spans="1:6" s="1260" customFormat="1" ht="29">
      <c r="A7" s="1256">
        <v>14.1</v>
      </c>
      <c r="B7" s="1257" t="s">
        <v>1936</v>
      </c>
      <c r="C7" s="1258" t="s">
        <v>12</v>
      </c>
      <c r="D7" s="1258">
        <v>5</v>
      </c>
      <c r="E7" s="1258"/>
      <c r="F7" s="458">
        <f t="shared" ref="F7" si="0">D7*E7</f>
        <v>0</v>
      </c>
    </row>
    <row r="8" spans="1:6" s="1260" customFormat="1">
      <c r="A8" s="1256"/>
      <c r="B8" s="1257"/>
      <c r="C8" s="1258"/>
      <c r="D8" s="1258"/>
      <c r="E8" s="1258"/>
      <c r="F8" s="1259"/>
    </row>
    <row r="9" spans="1:6" s="455" customFormat="1">
      <c r="A9" s="1256">
        <v>14.2</v>
      </c>
      <c r="B9" s="457" t="s">
        <v>1935</v>
      </c>
      <c r="C9" s="457" t="s">
        <v>5</v>
      </c>
      <c r="D9" s="457">
        <v>10</v>
      </c>
      <c r="E9" s="457"/>
      <c r="F9" s="458"/>
    </row>
    <row r="10" spans="1:6" s="1260" customFormat="1">
      <c r="A10" s="1261"/>
      <c r="B10" s="1258"/>
      <c r="C10" s="1258"/>
      <c r="D10" s="1258"/>
      <c r="E10" s="1258"/>
      <c r="F10" s="1259"/>
    </row>
    <row r="11" spans="1:6" s="455" customFormat="1">
      <c r="A11" s="460"/>
      <c r="B11" s="461" t="s">
        <v>618</v>
      </c>
      <c r="C11" s="462"/>
      <c r="D11" s="463"/>
      <c r="E11" s="463"/>
      <c r="F11" s="464">
        <f>SUM(F7:F9)</f>
        <v>0</v>
      </c>
    </row>
    <row r="12" spans="1:6">
      <c r="A12" s="463"/>
      <c r="B12" s="463"/>
      <c r="C12" s="463"/>
      <c r="D12" s="465"/>
      <c r="E12" s="466"/>
      <c r="F12" s="467"/>
    </row>
    <row r="13" spans="1:6">
      <c r="A13" s="459"/>
      <c r="B13" s="195" t="s">
        <v>851</v>
      </c>
      <c r="C13" s="457"/>
      <c r="D13" s="457"/>
      <c r="E13" s="457"/>
      <c r="F13" s="458"/>
    </row>
    <row r="14" spans="1:6">
      <c r="A14" s="459"/>
      <c r="B14" s="456"/>
      <c r="C14" s="457"/>
      <c r="D14" s="457"/>
      <c r="E14" s="457"/>
      <c r="F14" s="458"/>
    </row>
    <row r="15" spans="1:6">
      <c r="A15" s="459"/>
      <c r="B15" s="468" t="s">
        <v>840</v>
      </c>
      <c r="C15" s="457"/>
      <c r="D15" s="457"/>
      <c r="E15" s="457"/>
      <c r="F15" s="458"/>
    </row>
    <row r="16" spans="1:6" ht="16.5">
      <c r="A16" s="196">
        <v>14.3</v>
      </c>
      <c r="B16" s="263" t="s">
        <v>609</v>
      </c>
      <c r="C16" s="457" t="s">
        <v>588</v>
      </c>
      <c r="D16" s="457">
        <v>200</v>
      </c>
      <c r="E16" s="457"/>
      <c r="F16" s="213">
        <f>D16*E16</f>
        <v>0</v>
      </c>
    </row>
    <row r="17" spans="1:6" ht="16.5">
      <c r="A17" s="196">
        <v>14.3</v>
      </c>
      <c r="B17" s="263" t="s">
        <v>841</v>
      </c>
      <c r="C17" s="457" t="s">
        <v>608</v>
      </c>
      <c r="D17" s="457">
        <f>200*0.31</f>
        <v>62</v>
      </c>
      <c r="E17" s="457"/>
      <c r="F17" s="213">
        <f t="shared" ref="F17" si="1">D17*E17</f>
        <v>0</v>
      </c>
    </row>
    <row r="18" spans="1:6">
      <c r="A18" s="196"/>
      <c r="B18" s="263"/>
      <c r="C18" s="457"/>
      <c r="D18" s="457"/>
      <c r="E18" s="457"/>
      <c r="F18" s="213"/>
    </row>
    <row r="19" spans="1:6">
      <c r="A19" s="196"/>
      <c r="B19" s="208" t="s">
        <v>610</v>
      </c>
      <c r="C19" s="457"/>
      <c r="D19" s="457"/>
      <c r="E19" s="457"/>
      <c r="F19" s="469"/>
    </row>
    <row r="20" spans="1:6" ht="29">
      <c r="A20" s="196">
        <v>14.4</v>
      </c>
      <c r="B20" s="263" t="s">
        <v>611</v>
      </c>
      <c r="C20" s="457" t="s">
        <v>842</v>
      </c>
      <c r="D20" s="457">
        <f>200*0.1</f>
        <v>20</v>
      </c>
      <c r="E20" s="457"/>
      <c r="F20" s="213">
        <f>D20*E20</f>
        <v>0</v>
      </c>
    </row>
    <row r="21" spans="1:6" ht="29">
      <c r="A21" s="196">
        <v>14.4</v>
      </c>
      <c r="B21" s="263" t="s">
        <v>612</v>
      </c>
      <c r="C21" s="457" t="s">
        <v>588</v>
      </c>
      <c r="D21" s="457">
        <v>200</v>
      </c>
      <c r="E21" s="457"/>
      <c r="F21" s="213">
        <f>D21*E21</f>
        <v>0</v>
      </c>
    </row>
    <row r="22" spans="1:6">
      <c r="A22" s="196"/>
      <c r="B22" s="263"/>
      <c r="C22" s="457"/>
      <c r="D22" s="457"/>
      <c r="E22" s="457"/>
      <c r="F22" s="213"/>
    </row>
    <row r="23" spans="1:6">
      <c r="A23" s="459"/>
      <c r="B23" s="208" t="s">
        <v>443</v>
      </c>
      <c r="C23" s="457"/>
      <c r="D23" s="457"/>
      <c r="E23" s="457"/>
      <c r="F23" s="213">
        <f>D23*E23</f>
        <v>0</v>
      </c>
    </row>
    <row r="24" spans="1:6">
      <c r="A24" s="470">
        <v>14.5</v>
      </c>
      <c r="B24" s="263" t="s">
        <v>444</v>
      </c>
      <c r="C24" s="457" t="s">
        <v>445</v>
      </c>
      <c r="D24" s="457">
        <f>100*0.15</f>
        <v>15</v>
      </c>
      <c r="E24" s="457"/>
      <c r="F24" s="213">
        <f>D24*E24</f>
        <v>0</v>
      </c>
    </row>
    <row r="25" spans="1:6">
      <c r="A25" s="459"/>
      <c r="B25" s="208" t="s">
        <v>446</v>
      </c>
      <c r="C25" s="457"/>
      <c r="D25" s="457"/>
      <c r="E25" s="457"/>
      <c r="F25" s="213">
        <f>D25*E25</f>
        <v>0</v>
      </c>
    </row>
    <row r="26" spans="1:6" ht="29">
      <c r="A26" s="470">
        <v>14.6</v>
      </c>
      <c r="B26" s="263" t="s">
        <v>447</v>
      </c>
      <c r="C26" s="457" t="s">
        <v>588</v>
      </c>
      <c r="D26" s="457">
        <f>D16</f>
        <v>200</v>
      </c>
      <c r="E26" s="457"/>
      <c r="F26" s="213">
        <f>D26*E26</f>
        <v>0</v>
      </c>
    </row>
    <row r="27" spans="1:6">
      <c r="A27" s="459"/>
      <c r="B27" s="262" t="s">
        <v>440</v>
      </c>
      <c r="C27" s="457"/>
      <c r="D27" s="457"/>
      <c r="E27" s="457"/>
      <c r="F27" s="213"/>
    </row>
    <row r="28" spans="1:6" ht="29">
      <c r="A28" s="459"/>
      <c r="B28" s="264" t="s">
        <v>236</v>
      </c>
      <c r="C28" s="457"/>
      <c r="D28" s="457"/>
      <c r="E28" s="457"/>
      <c r="F28" s="213">
        <f>D28*E28</f>
        <v>0</v>
      </c>
    </row>
    <row r="29" spans="1:6" ht="29">
      <c r="A29" s="470">
        <v>14.7</v>
      </c>
      <c r="B29" s="263" t="s">
        <v>843</v>
      </c>
      <c r="C29" s="457" t="s">
        <v>588</v>
      </c>
      <c r="D29" s="457">
        <v>200</v>
      </c>
      <c r="E29" s="457"/>
      <c r="F29" s="213">
        <f>D29*E29</f>
        <v>0</v>
      </c>
    </row>
    <row r="30" spans="1:6">
      <c r="A30" s="459"/>
      <c r="B30" s="208" t="s">
        <v>485</v>
      </c>
      <c r="C30" s="457"/>
      <c r="D30" s="457"/>
      <c r="E30" s="457"/>
      <c r="F30" s="207"/>
    </row>
    <row r="31" spans="1:6">
      <c r="A31" s="460"/>
      <c r="B31" s="461" t="s">
        <v>618</v>
      </c>
      <c r="C31" s="462"/>
      <c r="D31" s="463"/>
      <c r="E31" s="463"/>
      <c r="F31" s="464">
        <f>SUM(F16:F30)</f>
        <v>0</v>
      </c>
    </row>
    <row r="32" spans="1:6">
      <c r="A32" s="459"/>
      <c r="B32" s="456"/>
      <c r="C32" s="457"/>
      <c r="D32" s="457"/>
      <c r="E32" s="457"/>
      <c r="F32" s="458"/>
    </row>
    <row r="33" spans="1:6" s="1200" customFormat="1" ht="29">
      <c r="A33" s="445" t="s">
        <v>529</v>
      </c>
      <c r="B33" s="428" t="s">
        <v>1</v>
      </c>
      <c r="C33" s="428" t="s">
        <v>2</v>
      </c>
      <c r="D33" s="1197" t="s">
        <v>426</v>
      </c>
      <c r="E33" s="1198" t="s">
        <v>368</v>
      </c>
      <c r="F33" s="1199" t="s">
        <v>472</v>
      </c>
    </row>
    <row r="34" spans="1:6">
      <c r="A34" s="459"/>
      <c r="B34" s="195" t="s">
        <v>852</v>
      </c>
      <c r="C34" s="457"/>
      <c r="D34" s="457"/>
      <c r="E34" s="457"/>
      <c r="F34" s="458"/>
    </row>
    <row r="35" spans="1:6">
      <c r="A35" s="459"/>
      <c r="B35" s="456"/>
      <c r="C35" s="457"/>
      <c r="D35" s="457"/>
      <c r="E35" s="457"/>
      <c r="F35" s="458"/>
    </row>
    <row r="36" spans="1:6" ht="16.5">
      <c r="A36" s="459"/>
      <c r="B36" s="263" t="s">
        <v>844</v>
      </c>
      <c r="C36" s="457" t="s">
        <v>588</v>
      </c>
      <c r="D36" s="457">
        <v>583</v>
      </c>
      <c r="E36" s="457"/>
      <c r="F36" s="213">
        <f t="shared" ref="F36" si="2">D36*E36</f>
        <v>0</v>
      </c>
    </row>
    <row r="37" spans="1:6">
      <c r="A37" s="459"/>
      <c r="B37" s="456"/>
      <c r="C37" s="457"/>
      <c r="D37" s="457"/>
      <c r="E37" s="457"/>
      <c r="F37" s="458"/>
    </row>
    <row r="38" spans="1:6">
      <c r="A38" s="459"/>
      <c r="B38" s="208" t="s">
        <v>845</v>
      </c>
      <c r="C38" s="457"/>
      <c r="D38" s="457"/>
      <c r="E38" s="457"/>
      <c r="F38" s="458"/>
    </row>
    <row r="39" spans="1:6" s="475" customFormat="1" ht="29">
      <c r="A39" s="471"/>
      <c r="B39" s="472" t="s">
        <v>846</v>
      </c>
      <c r="C39" s="473" t="s">
        <v>847</v>
      </c>
      <c r="D39" s="473">
        <v>583</v>
      </c>
      <c r="E39" s="473"/>
      <c r="F39" s="474">
        <f>D39*E39</f>
        <v>0</v>
      </c>
    </row>
    <row r="40" spans="1:6" s="475" customFormat="1">
      <c r="A40" s="471"/>
      <c r="B40" s="472"/>
      <c r="C40" s="473"/>
      <c r="D40" s="473"/>
      <c r="E40" s="473"/>
      <c r="F40" s="474"/>
    </row>
    <row r="41" spans="1:6">
      <c r="A41" s="460"/>
      <c r="B41" s="461" t="s">
        <v>618</v>
      </c>
      <c r="C41" s="462"/>
      <c r="D41" s="463"/>
      <c r="E41" s="463"/>
      <c r="F41" s="464">
        <f>SUM(F27:F37)</f>
        <v>0</v>
      </c>
    </row>
    <row r="42" spans="1:6">
      <c r="A42" s="459"/>
      <c r="B42" s="195"/>
      <c r="C42" s="457"/>
      <c r="D42" s="457"/>
      <c r="E42" s="457"/>
      <c r="F42" s="458"/>
    </row>
    <row r="43" spans="1:6">
      <c r="A43" s="459"/>
      <c r="B43" s="456"/>
      <c r="C43" s="457"/>
      <c r="D43" s="457"/>
      <c r="E43" s="457"/>
      <c r="F43" s="458"/>
    </row>
    <row r="44" spans="1:6">
      <c r="A44" s="216"/>
      <c r="B44" s="218" t="s">
        <v>638</v>
      </c>
      <c r="C44" s="217"/>
      <c r="D44" s="217"/>
      <c r="E44" s="217"/>
      <c r="F44" s="219"/>
    </row>
    <row r="45" spans="1:6">
      <c r="A45" s="216"/>
      <c r="B45" s="217"/>
      <c r="C45" s="217"/>
      <c r="D45" s="217"/>
      <c r="E45" s="217"/>
      <c r="F45" s="219"/>
    </row>
    <row r="46" spans="1:6">
      <c r="A46" s="216">
        <v>1</v>
      </c>
      <c r="B46" s="217" t="str">
        <f>B5</f>
        <v>BILL NO. 1: REST AREA</v>
      </c>
      <c r="C46" s="217"/>
      <c r="D46" s="217"/>
      <c r="E46" s="217"/>
      <c r="F46" s="219">
        <f>F11</f>
        <v>0</v>
      </c>
    </row>
    <row r="47" spans="1:6">
      <c r="A47" s="216"/>
      <c r="B47" s="217"/>
      <c r="C47" s="217"/>
      <c r="D47" s="217"/>
      <c r="E47" s="217"/>
      <c r="F47" s="219"/>
    </row>
    <row r="48" spans="1:6">
      <c r="A48" s="216">
        <v>2</v>
      </c>
      <c r="B48" s="217" t="str">
        <f>B13</f>
        <v>BILL NO. 2: WALKWAYS</v>
      </c>
      <c r="C48" s="217"/>
      <c r="D48" s="217"/>
      <c r="E48" s="217"/>
      <c r="F48" s="219">
        <f>F31</f>
        <v>0</v>
      </c>
    </row>
    <row r="49" spans="1:6">
      <c r="A49" s="216"/>
      <c r="B49" s="217"/>
      <c r="C49" s="217"/>
      <c r="D49" s="217"/>
      <c r="E49" s="217"/>
      <c r="F49" s="219"/>
    </row>
    <row r="50" spans="1:6">
      <c r="A50" s="216">
        <v>3</v>
      </c>
      <c r="B50" s="220" t="str">
        <f>B34</f>
        <v>BILL NO. 3: PARKING</v>
      </c>
      <c r="C50" s="217"/>
      <c r="D50" s="217"/>
      <c r="E50" s="217"/>
      <c r="F50" s="219">
        <f>F41</f>
        <v>0</v>
      </c>
    </row>
    <row r="51" spans="1:6">
      <c r="A51" s="216"/>
      <c r="B51" s="217"/>
      <c r="C51" s="217"/>
      <c r="D51" s="217"/>
      <c r="E51" s="217"/>
      <c r="F51" s="219"/>
    </row>
    <row r="52" spans="1:6">
      <c r="A52" s="216"/>
      <c r="B52" s="217"/>
      <c r="C52" s="217"/>
      <c r="D52" s="217"/>
      <c r="E52" s="217"/>
      <c r="F52" s="219"/>
    </row>
    <row r="53" spans="1:6">
      <c r="A53" s="216"/>
      <c r="B53" s="217"/>
      <c r="C53" s="217"/>
      <c r="D53" s="217"/>
      <c r="E53" s="217"/>
      <c r="F53" s="219"/>
    </row>
    <row r="54" spans="1:6">
      <c r="A54" s="221"/>
      <c r="B54" s="218" t="s">
        <v>790</v>
      </c>
      <c r="C54" s="218"/>
      <c r="D54" s="218"/>
      <c r="E54" s="218"/>
      <c r="F54" s="476">
        <f>SUM(F46:F53)</f>
        <v>0</v>
      </c>
    </row>
    <row r="55" spans="1:6">
      <c r="A55" s="477"/>
      <c r="B55" s="478"/>
      <c r="C55" s="478"/>
      <c r="D55" s="478"/>
      <c r="E55" s="478"/>
      <c r="F55" s="478"/>
    </row>
    <row r="56" spans="1:6">
      <c r="A56" s="459"/>
      <c r="B56" s="456"/>
      <c r="C56" s="457"/>
      <c r="D56" s="457"/>
      <c r="E56" s="457"/>
      <c r="F56" s="458"/>
    </row>
    <row r="57" spans="1:6">
      <c r="A57" s="459"/>
      <c r="B57" s="456"/>
      <c r="C57" s="457"/>
      <c r="D57" s="457"/>
      <c r="E57" s="457"/>
      <c r="F57" s="458"/>
    </row>
    <row r="58" spans="1:6">
      <c r="A58" s="459"/>
      <c r="B58" s="456"/>
      <c r="C58" s="457"/>
      <c r="D58" s="457"/>
      <c r="E58" s="457"/>
      <c r="F58" s="458"/>
    </row>
    <row r="59" spans="1:6">
      <c r="A59" s="459"/>
      <c r="B59" s="456"/>
      <c r="C59" s="457"/>
      <c r="D59" s="457"/>
      <c r="E59" s="457"/>
      <c r="F59" s="458"/>
    </row>
    <row r="60" spans="1:6">
      <c r="A60" s="459"/>
      <c r="B60" s="456"/>
      <c r="C60" s="457"/>
      <c r="D60" s="457"/>
      <c r="E60" s="457"/>
      <c r="F60" s="458"/>
    </row>
    <row r="61" spans="1:6">
      <c r="A61" s="459"/>
      <c r="B61" s="456"/>
      <c r="C61" s="457"/>
      <c r="D61" s="457"/>
      <c r="E61" s="457"/>
      <c r="F61" s="458"/>
    </row>
    <row r="62" spans="1:6">
      <c r="A62" s="459"/>
      <c r="B62" s="456"/>
      <c r="C62" s="457"/>
      <c r="D62" s="457"/>
      <c r="E62" s="457"/>
      <c r="F62" s="458"/>
    </row>
    <row r="63" spans="1:6">
      <c r="A63" s="459"/>
      <c r="B63" s="456"/>
      <c r="C63" s="457"/>
      <c r="D63" s="457"/>
      <c r="E63" s="457"/>
      <c r="F63" s="458"/>
    </row>
    <row r="64" spans="1:6">
      <c r="A64" s="459"/>
      <c r="B64" s="456"/>
      <c r="C64" s="457"/>
      <c r="D64" s="457"/>
      <c r="E64" s="457"/>
      <c r="F64" s="458"/>
    </row>
    <row r="65" spans="1:6">
      <c r="A65" s="459"/>
      <c r="B65" s="456"/>
      <c r="C65" s="457"/>
      <c r="D65" s="457"/>
      <c r="E65" s="457"/>
      <c r="F65" s="458"/>
    </row>
    <row r="66" spans="1:6">
      <c r="A66" s="459"/>
      <c r="B66" s="456"/>
      <c r="C66" s="457"/>
      <c r="D66" s="457"/>
      <c r="E66" s="457"/>
      <c r="F66" s="458"/>
    </row>
    <row r="67" spans="1:6">
      <c r="A67" s="459"/>
      <c r="B67" s="456"/>
      <c r="C67" s="457"/>
      <c r="D67" s="457"/>
      <c r="E67" s="457"/>
      <c r="F67" s="458"/>
    </row>
    <row r="68" spans="1:6">
      <c r="A68" s="459"/>
      <c r="B68" s="456"/>
      <c r="C68" s="457"/>
      <c r="D68" s="457"/>
      <c r="E68" s="457"/>
      <c r="F68" s="458"/>
    </row>
    <row r="69" spans="1:6">
      <c r="A69" s="459"/>
      <c r="B69" s="456"/>
      <c r="C69" s="457"/>
      <c r="D69" s="457"/>
      <c r="E69" s="457"/>
      <c r="F69" s="458"/>
    </row>
    <row r="70" spans="1:6">
      <c r="A70" s="459"/>
      <c r="B70" s="456"/>
      <c r="C70" s="457"/>
      <c r="D70" s="457"/>
      <c r="E70" s="457"/>
      <c r="F70" s="458"/>
    </row>
    <row r="71" spans="1:6">
      <c r="A71" s="459"/>
      <c r="B71" s="456"/>
      <c r="C71" s="457"/>
      <c r="D71" s="457"/>
      <c r="E71" s="457"/>
      <c r="F71" s="458"/>
    </row>
    <row r="72" spans="1:6">
      <c r="A72" s="459"/>
      <c r="B72" s="456"/>
      <c r="C72" s="457"/>
      <c r="D72" s="457"/>
      <c r="E72" s="457"/>
      <c r="F72" s="458"/>
    </row>
    <row r="73" spans="1:6">
      <c r="A73" s="459"/>
      <c r="B73" s="456"/>
      <c r="C73" s="457"/>
      <c r="D73" s="457"/>
      <c r="E73" s="457"/>
      <c r="F73" s="458"/>
    </row>
    <row r="74" spans="1:6">
      <c r="A74" s="459"/>
      <c r="B74" s="456"/>
      <c r="C74" s="457"/>
      <c r="D74" s="457"/>
      <c r="E74" s="457"/>
      <c r="F74" s="458"/>
    </row>
    <row r="75" spans="1:6">
      <c r="A75" s="459"/>
      <c r="B75" s="456"/>
      <c r="C75" s="457"/>
      <c r="D75" s="457"/>
      <c r="E75" s="457"/>
      <c r="F75" s="458"/>
    </row>
    <row r="76" spans="1:6">
      <c r="A76" s="459"/>
      <c r="B76" s="456"/>
      <c r="C76" s="457"/>
      <c r="D76" s="457"/>
      <c r="E76" s="457"/>
      <c r="F76" s="458"/>
    </row>
    <row r="77" spans="1:6">
      <c r="A77" s="459"/>
      <c r="B77" s="456"/>
      <c r="C77" s="457"/>
      <c r="D77" s="457"/>
      <c r="E77" s="457"/>
      <c r="F77" s="458"/>
    </row>
    <row r="78" spans="1:6">
      <c r="A78" s="459"/>
      <c r="B78" s="456"/>
      <c r="C78" s="457"/>
      <c r="D78" s="457"/>
      <c r="E78" s="457"/>
      <c r="F78" s="458"/>
    </row>
    <row r="79" spans="1:6">
      <c r="A79" s="459"/>
      <c r="B79" s="456"/>
      <c r="C79" s="457"/>
      <c r="D79" s="457"/>
      <c r="E79" s="457"/>
      <c r="F79" s="458"/>
    </row>
    <row r="80" spans="1:6">
      <c r="A80" s="459"/>
      <c r="B80" s="456"/>
      <c r="C80" s="457"/>
      <c r="D80" s="457"/>
      <c r="E80" s="457"/>
      <c r="F80" s="458"/>
    </row>
    <row r="81" spans="1:6">
      <c r="A81" s="459"/>
      <c r="B81" s="456"/>
      <c r="C81" s="457"/>
      <c r="D81" s="457"/>
      <c r="E81" s="457"/>
      <c r="F81" s="458"/>
    </row>
    <row r="82" spans="1:6">
      <c r="A82" s="459"/>
      <c r="B82" s="456"/>
      <c r="C82" s="457"/>
      <c r="D82" s="457"/>
      <c r="E82" s="457"/>
      <c r="F82" s="458"/>
    </row>
    <row r="83" spans="1:6">
      <c r="A83" s="459"/>
      <c r="B83" s="456"/>
      <c r="C83" s="457"/>
      <c r="D83" s="457"/>
      <c r="E83" s="457"/>
      <c r="F83" s="458"/>
    </row>
    <row r="84" spans="1:6">
      <c r="A84" s="459"/>
      <c r="B84" s="456"/>
      <c r="C84" s="457"/>
      <c r="D84" s="457"/>
      <c r="E84" s="457"/>
      <c r="F84" s="458"/>
    </row>
    <row r="85" spans="1:6">
      <c r="A85" s="459"/>
      <c r="B85" s="456"/>
      <c r="C85" s="457"/>
      <c r="D85" s="457"/>
      <c r="E85" s="457"/>
      <c r="F85" s="458"/>
    </row>
    <row r="86" spans="1:6">
      <c r="A86" s="459"/>
      <c r="B86" s="456"/>
      <c r="C86" s="457"/>
      <c r="D86" s="457"/>
      <c r="E86" s="457"/>
      <c r="F86" s="458"/>
    </row>
    <row r="87" spans="1:6">
      <c r="A87" s="459"/>
      <c r="B87" s="456"/>
      <c r="C87" s="457"/>
      <c r="D87" s="457"/>
      <c r="E87" s="457"/>
      <c r="F87" s="458"/>
    </row>
    <row r="88" spans="1:6">
      <c r="A88" s="459"/>
      <c r="B88" s="456"/>
      <c r="C88" s="457"/>
      <c r="D88" s="457"/>
      <c r="E88" s="457"/>
      <c r="F88" s="458"/>
    </row>
    <row r="89" spans="1:6">
      <c r="A89" s="459"/>
      <c r="B89" s="456"/>
      <c r="C89" s="457"/>
      <c r="D89" s="457"/>
      <c r="E89" s="457"/>
      <c r="F89" s="458"/>
    </row>
  </sheetData>
  <pageMargins left="0.7" right="0.7" top="0.75" bottom="0.75" header="0.3" footer="0.3"/>
  <pageSetup scale="88" orientation="portrait" horizontalDpi="300" verticalDpi="300" r:id="rId1"/>
  <rowBreaks count="1" manualBreakCount="1">
    <brk id="32"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view="pageBreakPreview" zoomScaleNormal="100" zoomScaleSheetLayoutView="100" workbookViewId="0">
      <selection activeCell="G1" sqref="G1:M1048576"/>
    </sheetView>
  </sheetViews>
  <sheetFormatPr defaultColWidth="9.08984375" defaultRowHeight="14.5"/>
  <cols>
    <col min="1" max="1" width="7.36328125" style="137" customWidth="1"/>
    <col min="2" max="2" width="50.6328125" style="137" customWidth="1"/>
    <col min="3" max="4" width="5.6328125" style="137" bestFit="1" customWidth="1"/>
    <col min="5" max="5" width="9.08984375" style="137"/>
    <col min="6" max="6" width="11.54296875" style="531" bestFit="1" customWidth="1"/>
    <col min="7" max="16384" width="9.08984375" style="137"/>
  </cols>
  <sheetData>
    <row r="1" spans="1:6" s="500" customFormat="1">
      <c r="A1" s="496" t="s">
        <v>0</v>
      </c>
      <c r="B1" s="496" t="s">
        <v>1</v>
      </c>
      <c r="C1" s="496" t="s">
        <v>2</v>
      </c>
      <c r="D1" s="497" t="s">
        <v>426</v>
      </c>
      <c r="E1" s="498" t="s">
        <v>368</v>
      </c>
      <c r="F1" s="499" t="s">
        <v>643</v>
      </c>
    </row>
    <row r="2" spans="1:6">
      <c r="A2" s="501"/>
      <c r="B2" s="502"/>
      <c r="C2" s="501"/>
      <c r="D2" s="503"/>
      <c r="E2" s="504"/>
      <c r="F2" s="505"/>
    </row>
    <row r="3" spans="1:6" s="508" customFormat="1" ht="15">
      <c r="A3" s="395"/>
      <c r="B3" s="506"/>
      <c r="C3" s="506"/>
      <c r="D3" s="506"/>
      <c r="E3" s="506"/>
      <c r="F3" s="507"/>
    </row>
    <row r="4" spans="1:6" s="508" customFormat="1" ht="15">
      <c r="A4" s="395"/>
      <c r="B4" s="509"/>
      <c r="C4" s="510"/>
      <c r="D4" s="511"/>
      <c r="E4" s="510"/>
      <c r="F4" s="512"/>
    </row>
    <row r="5" spans="1:6" s="513" customFormat="1" ht="15">
      <c r="A5" s="395"/>
      <c r="B5" s="509" t="s">
        <v>1019</v>
      </c>
      <c r="C5" s="510"/>
      <c r="D5" s="511"/>
      <c r="E5" s="510"/>
      <c r="F5" s="512"/>
    </row>
    <row r="6" spans="1:6">
      <c r="A6" s="514">
        <v>15.1</v>
      </c>
      <c r="B6" s="515" t="s">
        <v>912</v>
      </c>
      <c r="C6" s="516"/>
      <c r="D6" s="517"/>
      <c r="E6" s="514"/>
      <c r="F6" s="518"/>
    </row>
    <row r="7" spans="1:6" ht="16.5">
      <c r="A7" s="399" t="s">
        <v>966</v>
      </c>
      <c r="B7" s="416" t="s">
        <v>144</v>
      </c>
      <c r="C7" s="402" t="s">
        <v>408</v>
      </c>
      <c r="D7" s="402">
        <v>12</v>
      </c>
      <c r="E7" s="401"/>
      <c r="F7" s="519">
        <f>D7*E7</f>
        <v>0</v>
      </c>
    </row>
    <row r="8" spans="1:6">
      <c r="A8" s="399" t="s">
        <v>34</v>
      </c>
      <c r="B8" s="416" t="s">
        <v>145</v>
      </c>
      <c r="C8" s="401"/>
      <c r="D8" s="402"/>
      <c r="E8" s="401"/>
      <c r="F8" s="519"/>
    </row>
    <row r="9" spans="1:6" ht="43.5">
      <c r="A9" s="399" t="s">
        <v>967</v>
      </c>
      <c r="B9" s="416" t="s">
        <v>913</v>
      </c>
      <c r="C9" s="401" t="s">
        <v>146</v>
      </c>
      <c r="D9" s="402">
        <v>1</v>
      </c>
      <c r="E9" s="401"/>
      <c r="F9" s="519">
        <f>E9*D9</f>
        <v>0</v>
      </c>
    </row>
    <row r="10" spans="1:6">
      <c r="A10" s="399"/>
      <c r="B10" s="416"/>
      <c r="C10" s="401"/>
      <c r="D10" s="402"/>
      <c r="E10" s="401"/>
      <c r="F10" s="519"/>
    </row>
    <row r="11" spans="1:6">
      <c r="A11" s="399">
        <v>15.2</v>
      </c>
      <c r="B11" s="405" t="s">
        <v>149</v>
      </c>
      <c r="C11" s="401"/>
      <c r="D11" s="402"/>
      <c r="E11" s="401"/>
      <c r="F11" s="519"/>
    </row>
    <row r="12" spans="1:6">
      <c r="A12" s="399" t="s">
        <v>968</v>
      </c>
      <c r="B12" s="416" t="s">
        <v>26</v>
      </c>
      <c r="C12" s="401"/>
      <c r="D12" s="402"/>
      <c r="E12" s="401"/>
      <c r="F12" s="519"/>
    </row>
    <row r="13" spans="1:6">
      <c r="A13" s="399"/>
      <c r="B13" s="416" t="s">
        <v>27</v>
      </c>
      <c r="C13" s="401"/>
      <c r="D13" s="402"/>
      <c r="E13" s="401"/>
      <c r="F13" s="519"/>
    </row>
    <row r="14" spans="1:6" ht="16.5">
      <c r="A14" s="399" t="s">
        <v>969</v>
      </c>
      <c r="B14" s="416" t="s">
        <v>150</v>
      </c>
      <c r="C14" s="402" t="s">
        <v>409</v>
      </c>
      <c r="D14" s="402">
        <v>3</v>
      </c>
      <c r="E14" s="401"/>
      <c r="F14" s="519">
        <f>E14*D14</f>
        <v>0</v>
      </c>
    </row>
    <row r="15" spans="1:6">
      <c r="A15" s="399" t="s">
        <v>970</v>
      </c>
      <c r="B15" s="416" t="s">
        <v>914</v>
      </c>
      <c r="C15" s="401"/>
      <c r="D15" s="402"/>
      <c r="E15" s="401"/>
      <c r="F15" s="519"/>
    </row>
    <row r="16" spans="1:6" ht="16.5">
      <c r="A16" s="399"/>
      <c r="B16" s="416" t="s">
        <v>151</v>
      </c>
      <c r="C16" s="402" t="s">
        <v>409</v>
      </c>
      <c r="D16" s="402">
        <f>CEILING(0.6,1)</f>
        <v>1</v>
      </c>
      <c r="E16" s="401"/>
      <c r="F16" s="519">
        <f t="shared" ref="F16:F24" si="0">E16*D16</f>
        <v>0</v>
      </c>
    </row>
    <row r="17" spans="1:6" ht="16.5">
      <c r="A17" s="399" t="s">
        <v>971</v>
      </c>
      <c r="B17" s="416" t="s">
        <v>915</v>
      </c>
      <c r="C17" s="402" t="s">
        <v>409</v>
      </c>
      <c r="D17" s="402">
        <v>3</v>
      </c>
      <c r="E17" s="401"/>
      <c r="F17" s="519">
        <f t="shared" si="0"/>
        <v>0</v>
      </c>
    </row>
    <row r="18" spans="1:6" ht="16.5">
      <c r="A18" s="399" t="s">
        <v>972</v>
      </c>
      <c r="B18" s="416" t="s">
        <v>916</v>
      </c>
      <c r="C18" s="402" t="s">
        <v>409</v>
      </c>
      <c r="D18" s="402">
        <v>1</v>
      </c>
      <c r="E18" s="401"/>
      <c r="F18" s="519">
        <f t="shared" si="0"/>
        <v>0</v>
      </c>
    </row>
    <row r="19" spans="1:6">
      <c r="A19" s="520"/>
      <c r="B19" s="405" t="s">
        <v>28</v>
      </c>
      <c r="C19" s="401"/>
      <c r="D19" s="402"/>
      <c r="E19" s="401"/>
      <c r="F19" s="519"/>
    </row>
    <row r="20" spans="1:6">
      <c r="A20" s="520" t="s">
        <v>973</v>
      </c>
      <c r="B20" s="416" t="s">
        <v>29</v>
      </c>
      <c r="C20" s="401"/>
      <c r="D20" s="402"/>
      <c r="E20" s="401"/>
      <c r="F20" s="519"/>
    </row>
    <row r="21" spans="1:6" ht="16.5">
      <c r="A21" s="520"/>
      <c r="B21" s="416" t="s">
        <v>917</v>
      </c>
      <c r="C21" s="402" t="s">
        <v>409</v>
      </c>
      <c r="D21" s="402">
        <v>9</v>
      </c>
      <c r="E21" s="401"/>
      <c r="F21" s="519">
        <f t="shared" si="0"/>
        <v>0</v>
      </c>
    </row>
    <row r="22" spans="1:6">
      <c r="A22" s="520" t="s">
        <v>974</v>
      </c>
      <c r="B22" s="416" t="s">
        <v>155</v>
      </c>
      <c r="C22" s="401"/>
      <c r="D22" s="402"/>
      <c r="E22" s="401"/>
      <c r="F22" s="519"/>
    </row>
    <row r="23" spans="1:6">
      <c r="A23" s="520"/>
      <c r="B23" s="416" t="s">
        <v>156</v>
      </c>
      <c r="C23" s="401"/>
      <c r="D23" s="402"/>
      <c r="E23" s="401"/>
      <c r="F23" s="519"/>
    </row>
    <row r="24" spans="1:6" ht="16.5">
      <c r="A24" s="520"/>
      <c r="B24" s="416" t="s">
        <v>157</v>
      </c>
      <c r="C24" s="402" t="s">
        <v>409</v>
      </c>
      <c r="D24" s="402">
        <v>21</v>
      </c>
      <c r="E24" s="401"/>
      <c r="F24" s="519">
        <f t="shared" si="0"/>
        <v>0</v>
      </c>
    </row>
    <row r="25" spans="1:6">
      <c r="A25" s="520"/>
      <c r="B25" s="416"/>
      <c r="C25" s="401"/>
      <c r="D25" s="402"/>
      <c r="E25" s="401"/>
      <c r="F25" s="519"/>
    </row>
    <row r="26" spans="1:6">
      <c r="A26" s="423">
        <v>15.3</v>
      </c>
      <c r="B26" s="405" t="s">
        <v>161</v>
      </c>
      <c r="C26" s="424"/>
      <c r="D26" s="425"/>
      <c r="E26" s="424"/>
      <c r="F26" s="521"/>
    </row>
    <row r="27" spans="1:6">
      <c r="A27" s="520"/>
      <c r="B27" s="405" t="s">
        <v>43</v>
      </c>
      <c r="C27" s="401"/>
      <c r="D27" s="402"/>
      <c r="E27" s="401"/>
      <c r="F27" s="519"/>
    </row>
    <row r="28" spans="1:6" ht="16.5">
      <c r="A28" s="520" t="s">
        <v>975</v>
      </c>
      <c r="B28" s="416" t="s">
        <v>918</v>
      </c>
      <c r="C28" s="402" t="s">
        <v>409</v>
      </c>
      <c r="D28" s="402">
        <v>2</v>
      </c>
      <c r="E28" s="401"/>
      <c r="F28" s="519">
        <f t="shared" ref="F28" si="1">D28*E28</f>
        <v>0</v>
      </c>
    </row>
    <row r="29" spans="1:6">
      <c r="A29" s="520"/>
      <c r="B29" s="405" t="s">
        <v>919</v>
      </c>
      <c r="C29" s="401"/>
      <c r="D29" s="402"/>
      <c r="E29" s="401"/>
      <c r="F29" s="519"/>
    </row>
    <row r="30" spans="1:6">
      <c r="A30" s="520"/>
      <c r="B30" s="405" t="s">
        <v>162</v>
      </c>
      <c r="C30" s="401"/>
      <c r="D30" s="402"/>
      <c r="E30" s="401"/>
      <c r="F30" s="519"/>
    </row>
    <row r="31" spans="1:6" ht="16.5">
      <c r="A31" s="520" t="s">
        <v>976</v>
      </c>
      <c r="B31" s="416" t="s">
        <v>920</v>
      </c>
      <c r="C31" s="402" t="s">
        <v>409</v>
      </c>
      <c r="D31" s="402">
        <f>CEILING(5.67,1)</f>
        <v>6</v>
      </c>
      <c r="E31" s="401"/>
      <c r="F31" s="519">
        <f>D31*E31</f>
        <v>0</v>
      </c>
    </row>
    <row r="32" spans="1:6" ht="16.5">
      <c r="A32" s="520" t="s">
        <v>977</v>
      </c>
      <c r="B32" s="416" t="s">
        <v>163</v>
      </c>
      <c r="C32" s="402" t="s">
        <v>409</v>
      </c>
      <c r="D32" s="402">
        <f>D31</f>
        <v>6</v>
      </c>
      <c r="E32" s="401"/>
      <c r="F32" s="519">
        <f t="shared" ref="F32:F38" si="2">D32*E32</f>
        <v>0</v>
      </c>
    </row>
    <row r="33" spans="1:6" ht="16.5">
      <c r="A33" s="520" t="s">
        <v>978</v>
      </c>
      <c r="B33" s="416" t="s">
        <v>921</v>
      </c>
      <c r="C33" s="402" t="s">
        <v>409</v>
      </c>
      <c r="D33" s="402">
        <f>D31</f>
        <v>6</v>
      </c>
      <c r="E33" s="401"/>
      <c r="F33" s="519">
        <f t="shared" si="2"/>
        <v>0</v>
      </c>
    </row>
    <row r="34" spans="1:6">
      <c r="A34" s="520"/>
      <c r="B34" s="405" t="s">
        <v>167</v>
      </c>
      <c r="C34" s="401"/>
      <c r="D34" s="402"/>
      <c r="E34" s="401"/>
      <c r="F34" s="519"/>
    </row>
    <row r="35" spans="1:6">
      <c r="A35" s="520" t="s">
        <v>979</v>
      </c>
      <c r="B35" s="416" t="s">
        <v>922</v>
      </c>
      <c r="C35" s="401"/>
      <c r="D35" s="402"/>
      <c r="E35" s="401"/>
      <c r="F35" s="519"/>
    </row>
    <row r="36" spans="1:6" ht="16.5">
      <c r="A36" s="520"/>
      <c r="B36" s="416" t="s">
        <v>923</v>
      </c>
      <c r="C36" s="402" t="s">
        <v>409</v>
      </c>
      <c r="D36" s="402">
        <f>CEILING(0.15*4*4,1)</f>
        <v>3</v>
      </c>
      <c r="E36" s="401"/>
      <c r="F36" s="519">
        <f t="shared" si="2"/>
        <v>0</v>
      </c>
    </row>
    <row r="37" spans="1:6" ht="16.5">
      <c r="A37" s="520" t="s">
        <v>980</v>
      </c>
      <c r="B37" s="416" t="s">
        <v>924</v>
      </c>
      <c r="C37" s="402" t="s">
        <v>409</v>
      </c>
      <c r="D37" s="402">
        <f>CEILING(0.2*4*4,1)</f>
        <v>4</v>
      </c>
      <c r="E37" s="401"/>
      <c r="F37" s="519">
        <f t="shared" si="2"/>
        <v>0</v>
      </c>
    </row>
    <row r="38" spans="1:6" ht="16.5">
      <c r="A38" s="520" t="s">
        <v>981</v>
      </c>
      <c r="B38" s="416" t="s">
        <v>925</v>
      </c>
      <c r="C38" s="402" t="s">
        <v>409</v>
      </c>
      <c r="D38" s="402">
        <f>CEILING(0.2*4*4,1)</f>
        <v>4</v>
      </c>
      <c r="E38" s="401"/>
      <c r="F38" s="519">
        <f t="shared" si="2"/>
        <v>0</v>
      </c>
    </row>
    <row r="39" spans="1:6">
      <c r="A39" s="520"/>
      <c r="B39" s="405" t="s">
        <v>164</v>
      </c>
      <c r="C39" s="402"/>
      <c r="D39" s="402"/>
      <c r="E39" s="401"/>
      <c r="F39" s="519"/>
    </row>
    <row r="40" spans="1:6" ht="16.5">
      <c r="A40" s="520" t="s">
        <v>982</v>
      </c>
      <c r="B40" s="416" t="s">
        <v>165</v>
      </c>
      <c r="C40" s="402" t="s">
        <v>409</v>
      </c>
      <c r="D40" s="402">
        <f>CEILING(3.6,1)</f>
        <v>4</v>
      </c>
      <c r="E40" s="401"/>
      <c r="F40" s="519">
        <f>D40*E40</f>
        <v>0</v>
      </c>
    </row>
    <row r="41" spans="1:6" ht="16.5">
      <c r="A41" s="520" t="s">
        <v>983</v>
      </c>
      <c r="B41" s="416" t="s">
        <v>166</v>
      </c>
      <c r="C41" s="402" t="s">
        <v>409</v>
      </c>
      <c r="D41" s="402">
        <f>CEILING(2.16,1)</f>
        <v>3</v>
      </c>
      <c r="E41" s="401"/>
      <c r="F41" s="519">
        <f>D41*E41</f>
        <v>0</v>
      </c>
    </row>
    <row r="42" spans="1:6" ht="16.5">
      <c r="A42" s="520" t="s">
        <v>984</v>
      </c>
      <c r="B42" s="416" t="s">
        <v>926</v>
      </c>
      <c r="C42" s="402" t="s">
        <v>409</v>
      </c>
      <c r="D42" s="402">
        <f>CEILING(12.96,1)</f>
        <v>13</v>
      </c>
      <c r="E42" s="401"/>
      <c r="F42" s="519">
        <f>D42*E42</f>
        <v>0</v>
      </c>
    </row>
    <row r="43" spans="1:6">
      <c r="A43" s="520"/>
      <c r="B43" s="416"/>
      <c r="C43" s="401"/>
      <c r="D43" s="402"/>
      <c r="E43" s="401"/>
      <c r="F43" s="519"/>
    </row>
    <row r="44" spans="1:6" s="500" customFormat="1">
      <c r="A44" s="423"/>
      <c r="B44" s="405" t="s">
        <v>927</v>
      </c>
      <c r="C44" s="424"/>
      <c r="D44" s="425"/>
      <c r="E44" s="424"/>
      <c r="F44" s="521">
        <f>SUM(F7:F43)</f>
        <v>0</v>
      </c>
    </row>
    <row r="45" spans="1:6" s="500" customFormat="1">
      <c r="A45" s="496" t="s">
        <v>0</v>
      </c>
      <c r="B45" s="496" t="s">
        <v>1</v>
      </c>
      <c r="C45" s="496" t="s">
        <v>2</v>
      </c>
      <c r="D45" s="497" t="s">
        <v>426</v>
      </c>
      <c r="E45" s="498" t="s">
        <v>368</v>
      </c>
      <c r="F45" s="499" t="s">
        <v>643</v>
      </c>
    </row>
    <row r="46" spans="1:6" s="525" customFormat="1">
      <c r="A46" s="269"/>
      <c r="B46" s="269" t="s">
        <v>928</v>
      </c>
      <c r="C46" s="269"/>
      <c r="D46" s="522"/>
      <c r="E46" s="523"/>
      <c r="F46" s="524">
        <f>F44</f>
        <v>0</v>
      </c>
    </row>
    <row r="47" spans="1:6" ht="12.65" customHeight="1">
      <c r="A47" s="520">
        <v>15.4</v>
      </c>
      <c r="B47" s="405" t="s">
        <v>929</v>
      </c>
      <c r="C47" s="401"/>
      <c r="D47" s="402"/>
      <c r="E47" s="401"/>
      <c r="F47" s="519"/>
    </row>
    <row r="48" spans="1:6">
      <c r="A48" s="520"/>
      <c r="B48" s="405" t="s">
        <v>45</v>
      </c>
      <c r="C48" s="401"/>
      <c r="D48" s="402"/>
      <c r="E48" s="401"/>
      <c r="F48" s="519"/>
    </row>
    <row r="49" spans="1:6" ht="29">
      <c r="A49" s="520" t="s">
        <v>985</v>
      </c>
      <c r="B49" s="416" t="s">
        <v>930</v>
      </c>
      <c r="C49" s="401"/>
      <c r="D49" s="402"/>
      <c r="E49" s="401"/>
      <c r="F49" s="519"/>
    </row>
    <row r="50" spans="1:6">
      <c r="A50" s="520"/>
      <c r="B50" s="405" t="s">
        <v>162</v>
      </c>
      <c r="C50" s="401"/>
      <c r="D50" s="402"/>
      <c r="E50" s="401"/>
      <c r="F50" s="519"/>
    </row>
    <row r="51" spans="1:6">
      <c r="A51" s="520" t="s">
        <v>986</v>
      </c>
      <c r="B51" s="416" t="s">
        <v>170</v>
      </c>
      <c r="C51" s="401"/>
      <c r="D51" s="402"/>
      <c r="E51" s="401"/>
      <c r="F51" s="519"/>
    </row>
    <row r="52" spans="1:6" ht="29">
      <c r="A52" s="520"/>
      <c r="B52" s="416" t="s">
        <v>171</v>
      </c>
      <c r="C52" s="401" t="s">
        <v>19</v>
      </c>
      <c r="D52" s="402">
        <v>190</v>
      </c>
      <c r="E52" s="401"/>
      <c r="F52" s="519">
        <f>D52*E52</f>
        <v>0</v>
      </c>
    </row>
    <row r="53" spans="1:6">
      <c r="A53" s="520" t="s">
        <v>987</v>
      </c>
      <c r="B53" s="416" t="s">
        <v>172</v>
      </c>
      <c r="C53" s="401"/>
      <c r="D53" s="402"/>
      <c r="E53" s="401"/>
      <c r="F53" s="519"/>
    </row>
    <row r="54" spans="1:6" ht="29">
      <c r="A54" s="520"/>
      <c r="B54" s="416" t="s">
        <v>173</v>
      </c>
      <c r="C54" s="401" t="s">
        <v>19</v>
      </c>
      <c r="D54" s="402">
        <v>425</v>
      </c>
      <c r="E54" s="401"/>
      <c r="F54" s="519">
        <f t="shared" ref="F54:F61" si="3">D54*E54</f>
        <v>0</v>
      </c>
    </row>
    <row r="55" spans="1:6">
      <c r="A55" s="520"/>
      <c r="B55" s="405" t="s">
        <v>931</v>
      </c>
      <c r="C55" s="401"/>
      <c r="D55" s="402"/>
      <c r="E55" s="401"/>
      <c r="F55" s="519"/>
    </row>
    <row r="56" spans="1:6">
      <c r="A56" s="520"/>
      <c r="B56" s="405"/>
      <c r="C56" s="401"/>
      <c r="D56" s="402"/>
      <c r="E56" s="401"/>
      <c r="F56" s="519"/>
    </row>
    <row r="57" spans="1:6">
      <c r="A57" s="520" t="s">
        <v>988</v>
      </c>
      <c r="B57" s="416" t="s">
        <v>932</v>
      </c>
      <c r="C57" s="401" t="s">
        <v>19</v>
      </c>
      <c r="D57" s="402">
        <v>150</v>
      </c>
      <c r="E57" s="401"/>
      <c r="F57" s="519">
        <f t="shared" ref="F57:F59" si="4">D57*E57</f>
        <v>0</v>
      </c>
    </row>
    <row r="58" spans="1:6">
      <c r="A58" s="520"/>
      <c r="B58" s="416" t="s">
        <v>932</v>
      </c>
      <c r="C58" s="401"/>
      <c r="D58" s="402"/>
      <c r="E58" s="401"/>
      <c r="F58" s="519"/>
    </row>
    <row r="59" spans="1:6" ht="29">
      <c r="A59" s="520" t="s">
        <v>989</v>
      </c>
      <c r="B59" s="416" t="s">
        <v>933</v>
      </c>
      <c r="C59" s="401" t="s">
        <v>19</v>
      </c>
      <c r="D59" s="402">
        <v>250</v>
      </c>
      <c r="E59" s="401"/>
      <c r="F59" s="519">
        <f t="shared" si="4"/>
        <v>0</v>
      </c>
    </row>
    <row r="60" spans="1:6" s="500" customFormat="1">
      <c r="A60" s="520" t="s">
        <v>990</v>
      </c>
      <c r="B60" s="416" t="s">
        <v>172</v>
      </c>
      <c r="C60" s="401"/>
      <c r="D60" s="402"/>
      <c r="E60" s="401"/>
      <c r="F60" s="519"/>
    </row>
    <row r="61" spans="1:6" s="500" customFormat="1" ht="29">
      <c r="A61" s="520"/>
      <c r="B61" s="416" t="s">
        <v>173</v>
      </c>
      <c r="C61" s="401" t="s">
        <v>19</v>
      </c>
      <c r="D61" s="402">
        <v>180</v>
      </c>
      <c r="E61" s="401"/>
      <c r="F61" s="519">
        <f t="shared" si="3"/>
        <v>0</v>
      </c>
    </row>
    <row r="62" spans="1:6" s="500" customFormat="1">
      <c r="A62" s="520"/>
      <c r="B62" s="416"/>
      <c r="C62" s="401"/>
      <c r="D62" s="402"/>
      <c r="E62" s="401"/>
      <c r="F62" s="519"/>
    </row>
    <row r="63" spans="1:6">
      <c r="A63" s="526">
        <v>15.5</v>
      </c>
      <c r="B63" s="405" t="s">
        <v>934</v>
      </c>
      <c r="C63" s="401"/>
      <c r="D63" s="402"/>
      <c r="E63" s="401"/>
      <c r="F63" s="519"/>
    </row>
    <row r="64" spans="1:6" ht="43.5">
      <c r="A64" s="520"/>
      <c r="B64" s="416" t="s">
        <v>935</v>
      </c>
      <c r="C64" s="401"/>
      <c r="D64" s="402"/>
      <c r="E64" s="401"/>
      <c r="F64" s="519"/>
    </row>
    <row r="65" spans="1:6">
      <c r="A65" s="520" t="s">
        <v>991</v>
      </c>
      <c r="B65" s="416" t="s">
        <v>47</v>
      </c>
      <c r="C65" s="401"/>
      <c r="D65" s="402"/>
      <c r="E65" s="401"/>
      <c r="F65" s="519"/>
    </row>
    <row r="66" spans="1:6" ht="16.5">
      <c r="A66" s="520"/>
      <c r="B66" s="416" t="s">
        <v>48</v>
      </c>
      <c r="C66" s="402" t="s">
        <v>408</v>
      </c>
      <c r="D66" s="402">
        <v>12</v>
      </c>
      <c r="E66" s="401"/>
      <c r="F66" s="519">
        <f t="shared" ref="F66" si="5">D66*E66</f>
        <v>0</v>
      </c>
    </row>
    <row r="67" spans="1:6" s="500" customFormat="1">
      <c r="A67" s="526">
        <v>15.6</v>
      </c>
      <c r="B67" s="405" t="s">
        <v>936</v>
      </c>
      <c r="C67" s="424"/>
      <c r="D67" s="425"/>
      <c r="E67" s="424"/>
      <c r="F67" s="521"/>
    </row>
    <row r="68" spans="1:6">
      <c r="A68" s="520" t="s">
        <v>1013</v>
      </c>
      <c r="B68" s="416" t="s">
        <v>937</v>
      </c>
      <c r="C68" s="401"/>
      <c r="D68" s="402"/>
      <c r="E68" s="401"/>
      <c r="F68" s="519"/>
    </row>
    <row r="69" spans="1:6" ht="29">
      <c r="A69" s="520"/>
      <c r="B69" s="416" t="s">
        <v>171</v>
      </c>
      <c r="C69" s="401" t="s">
        <v>19</v>
      </c>
      <c r="D69" s="402">
        <v>72</v>
      </c>
      <c r="E69" s="401"/>
      <c r="F69" s="519">
        <f t="shared" ref="F69" si="6">D69*E69</f>
        <v>0</v>
      </c>
    </row>
    <row r="70" spans="1:6">
      <c r="A70" s="520"/>
      <c r="B70" s="416"/>
      <c r="C70" s="401"/>
      <c r="D70" s="402"/>
      <c r="E70" s="401"/>
      <c r="F70" s="519"/>
    </row>
    <row r="71" spans="1:6">
      <c r="A71" s="526">
        <v>15.7</v>
      </c>
      <c r="B71" s="405" t="s">
        <v>938</v>
      </c>
      <c r="C71" s="401"/>
      <c r="D71" s="402"/>
      <c r="E71" s="401"/>
      <c r="F71" s="519"/>
    </row>
    <row r="72" spans="1:6" ht="16.5">
      <c r="A72" s="520" t="s">
        <v>992</v>
      </c>
      <c r="B72" s="416" t="s">
        <v>939</v>
      </c>
      <c r="C72" s="402" t="s">
        <v>408</v>
      </c>
      <c r="D72" s="402">
        <f>CEILING(3.6,1)</f>
        <v>4</v>
      </c>
      <c r="E72" s="401"/>
      <c r="F72" s="519">
        <f t="shared" ref="F72:F93" si="7">D72*E72</f>
        <v>0</v>
      </c>
    </row>
    <row r="73" spans="1:6" ht="16.5">
      <c r="A73" s="520" t="s">
        <v>993</v>
      </c>
      <c r="B73" s="416" t="s">
        <v>182</v>
      </c>
      <c r="C73" s="402" t="s">
        <v>408</v>
      </c>
      <c r="D73" s="402">
        <v>8</v>
      </c>
      <c r="E73" s="401"/>
      <c r="F73" s="519">
        <f t="shared" si="7"/>
        <v>0</v>
      </c>
    </row>
    <row r="74" spans="1:6" s="527" customFormat="1" ht="16.5">
      <c r="A74" s="520" t="s">
        <v>994</v>
      </c>
      <c r="B74" s="416" t="s">
        <v>940</v>
      </c>
      <c r="C74" s="402" t="s">
        <v>408</v>
      </c>
      <c r="D74" s="402">
        <v>8</v>
      </c>
      <c r="E74" s="401"/>
      <c r="F74" s="519">
        <f t="shared" si="7"/>
        <v>0</v>
      </c>
    </row>
    <row r="75" spans="1:6" s="527" customFormat="1" ht="16.5">
      <c r="A75" s="520" t="s">
        <v>995</v>
      </c>
      <c r="B75" s="416" t="s">
        <v>941</v>
      </c>
      <c r="C75" s="402" t="s">
        <v>408</v>
      </c>
      <c r="D75" s="402">
        <f>CEILING(43.2,1)</f>
        <v>44</v>
      </c>
      <c r="E75" s="401"/>
      <c r="F75" s="519">
        <f t="shared" si="7"/>
        <v>0</v>
      </c>
    </row>
    <row r="76" spans="1:6" s="527" customFormat="1">
      <c r="A76" s="520"/>
      <c r="B76" s="416"/>
      <c r="C76" s="402"/>
      <c r="D76" s="402"/>
      <c r="E76" s="401"/>
      <c r="F76" s="519"/>
    </row>
    <row r="77" spans="1:6">
      <c r="A77" s="526">
        <v>15.8</v>
      </c>
      <c r="B77" s="405" t="s">
        <v>186</v>
      </c>
      <c r="C77" s="424"/>
      <c r="D77" s="425"/>
      <c r="E77" s="424"/>
      <c r="F77" s="519"/>
    </row>
    <row r="78" spans="1:6" ht="29">
      <c r="A78" s="520" t="s">
        <v>996</v>
      </c>
      <c r="B78" s="416" t="s">
        <v>942</v>
      </c>
      <c r="C78" s="401" t="s">
        <v>864</v>
      </c>
      <c r="D78" s="402">
        <v>28</v>
      </c>
      <c r="E78" s="401"/>
      <c r="F78" s="519">
        <f t="shared" si="7"/>
        <v>0</v>
      </c>
    </row>
    <row r="79" spans="1:6">
      <c r="A79" s="520"/>
      <c r="B79" s="416" t="s">
        <v>943</v>
      </c>
      <c r="C79" s="401"/>
      <c r="D79" s="402"/>
      <c r="E79" s="401"/>
      <c r="F79" s="519"/>
    </row>
    <row r="80" spans="1:6" ht="16.5">
      <c r="A80" s="520" t="s">
        <v>997</v>
      </c>
      <c r="B80" s="416" t="s">
        <v>944</v>
      </c>
      <c r="C80" s="402" t="s">
        <v>409</v>
      </c>
      <c r="D80" s="402">
        <f>CEILING(8.64,1)</f>
        <v>9</v>
      </c>
      <c r="E80" s="401"/>
      <c r="F80" s="519">
        <f t="shared" si="7"/>
        <v>0</v>
      </c>
    </row>
    <row r="81" spans="1:6">
      <c r="A81" s="520"/>
      <c r="B81" s="416"/>
      <c r="C81" s="402"/>
      <c r="D81" s="402"/>
      <c r="E81" s="401"/>
      <c r="F81" s="519"/>
    </row>
    <row r="82" spans="1:6">
      <c r="A82" s="520"/>
      <c r="B82" s="416"/>
      <c r="C82" s="402"/>
      <c r="D82" s="402"/>
      <c r="E82" s="401"/>
      <c r="F82" s="519"/>
    </row>
    <row r="83" spans="1:6" s="500" customFormat="1">
      <c r="A83" s="423"/>
      <c r="B83" s="405" t="s">
        <v>455</v>
      </c>
      <c r="C83" s="425"/>
      <c r="D83" s="425"/>
      <c r="E83" s="424"/>
      <c r="F83" s="521">
        <f>SUM(F46:F82)</f>
        <v>0</v>
      </c>
    </row>
    <row r="84" spans="1:6" s="500" customFormat="1">
      <c r="A84" s="496" t="s">
        <v>0</v>
      </c>
      <c r="B84" s="496" t="s">
        <v>1</v>
      </c>
      <c r="C84" s="496" t="s">
        <v>2</v>
      </c>
      <c r="D84" s="497" t="s">
        <v>426</v>
      </c>
      <c r="E84" s="498" t="s">
        <v>368</v>
      </c>
      <c r="F84" s="499" t="s">
        <v>643</v>
      </c>
    </row>
    <row r="85" spans="1:6" s="525" customFormat="1">
      <c r="A85" s="269"/>
      <c r="B85" s="269" t="s">
        <v>928</v>
      </c>
      <c r="C85" s="269"/>
      <c r="D85" s="522"/>
      <c r="E85" s="523"/>
      <c r="F85" s="524">
        <f>F83</f>
        <v>0</v>
      </c>
    </row>
    <row r="86" spans="1:6">
      <c r="A86" s="526">
        <v>15.9</v>
      </c>
      <c r="B86" s="405" t="s">
        <v>945</v>
      </c>
      <c r="C86" s="424"/>
      <c r="D86" s="425"/>
      <c r="E86" s="424"/>
      <c r="F86" s="519"/>
    </row>
    <row r="87" spans="1:6">
      <c r="A87" s="520"/>
      <c r="B87" s="405" t="s">
        <v>58</v>
      </c>
      <c r="C87" s="401"/>
      <c r="D87" s="402"/>
      <c r="E87" s="401"/>
      <c r="F87" s="519"/>
    </row>
    <row r="88" spans="1:6">
      <c r="A88" s="528"/>
      <c r="B88" s="405" t="s">
        <v>946</v>
      </c>
      <c r="C88" s="401"/>
      <c r="D88" s="402"/>
      <c r="E88" s="401"/>
      <c r="F88" s="519"/>
    </row>
    <row r="89" spans="1:6" ht="16.5">
      <c r="A89" s="520" t="s">
        <v>998</v>
      </c>
      <c r="B89" s="416" t="s">
        <v>947</v>
      </c>
      <c r="C89" s="402" t="s">
        <v>408</v>
      </c>
      <c r="D89" s="402">
        <v>40</v>
      </c>
      <c r="E89" s="401"/>
      <c r="F89" s="519">
        <f t="shared" si="7"/>
        <v>0</v>
      </c>
    </row>
    <row r="90" spans="1:6">
      <c r="A90" s="528"/>
      <c r="B90" s="405" t="s">
        <v>55</v>
      </c>
      <c r="C90" s="402"/>
      <c r="D90" s="402"/>
      <c r="E90" s="401"/>
      <c r="F90" s="519"/>
    </row>
    <row r="91" spans="1:6">
      <c r="A91" s="520"/>
      <c r="B91" s="405" t="s">
        <v>948</v>
      </c>
      <c r="C91" s="402"/>
      <c r="D91" s="402"/>
      <c r="E91" s="401"/>
      <c r="F91" s="519"/>
    </row>
    <row r="92" spans="1:6">
      <c r="A92" s="520" t="s">
        <v>999</v>
      </c>
      <c r="B92" s="416" t="s">
        <v>949</v>
      </c>
      <c r="C92" s="402"/>
      <c r="D92" s="402"/>
      <c r="E92" s="401"/>
      <c r="F92" s="519"/>
    </row>
    <row r="93" spans="1:6" ht="20" customHeight="1">
      <c r="A93" s="520" t="s">
        <v>1000</v>
      </c>
      <c r="B93" s="416" t="s">
        <v>950</v>
      </c>
      <c r="C93" s="402" t="s">
        <v>408</v>
      </c>
      <c r="D93" s="402">
        <f>CEILING((0.1+0.2+0.2)*3.5*4,1)</f>
        <v>7</v>
      </c>
      <c r="E93" s="401"/>
      <c r="F93" s="519">
        <f t="shared" si="7"/>
        <v>0</v>
      </c>
    </row>
    <row r="94" spans="1:6" ht="16.5">
      <c r="A94" s="520" t="s">
        <v>1001</v>
      </c>
      <c r="B94" s="416" t="s">
        <v>951</v>
      </c>
      <c r="C94" s="402" t="s">
        <v>408</v>
      </c>
      <c r="D94" s="402">
        <f>CEILING(4*6*0.3*4,1)</f>
        <v>29</v>
      </c>
      <c r="E94" s="401"/>
      <c r="F94" s="519">
        <f>D94*E94</f>
        <v>0</v>
      </c>
    </row>
    <row r="95" spans="1:6">
      <c r="A95" s="520"/>
      <c r="B95" s="416"/>
      <c r="C95" s="401"/>
      <c r="D95" s="402"/>
      <c r="E95" s="401"/>
      <c r="F95" s="519"/>
    </row>
    <row r="96" spans="1:6">
      <c r="A96" s="423">
        <v>15.1</v>
      </c>
      <c r="B96" s="405" t="s">
        <v>952</v>
      </c>
      <c r="C96" s="399"/>
      <c r="D96" s="402"/>
      <c r="E96" s="401"/>
      <c r="F96" s="519"/>
    </row>
    <row r="97" spans="1:6" ht="29">
      <c r="A97" s="520" t="s">
        <v>1002</v>
      </c>
      <c r="B97" s="416" t="s">
        <v>953</v>
      </c>
      <c r="C97" s="399"/>
      <c r="D97" s="402"/>
      <c r="E97" s="401"/>
      <c r="F97" s="519"/>
    </row>
    <row r="98" spans="1:6">
      <c r="A98" s="520"/>
      <c r="B98" s="416" t="s">
        <v>954</v>
      </c>
      <c r="C98" s="399"/>
      <c r="D98" s="402"/>
      <c r="E98" s="401"/>
      <c r="F98" s="519"/>
    </row>
    <row r="99" spans="1:6">
      <c r="A99" s="520" t="s">
        <v>1003</v>
      </c>
      <c r="B99" s="416" t="s">
        <v>955</v>
      </c>
      <c r="C99" s="399" t="s">
        <v>5</v>
      </c>
      <c r="D99" s="402">
        <v>1</v>
      </c>
      <c r="E99" s="401"/>
      <c r="F99" s="519">
        <f>E99*D99</f>
        <v>0</v>
      </c>
    </row>
    <row r="100" spans="1:6">
      <c r="A100" s="520" t="s">
        <v>1004</v>
      </c>
      <c r="B100" s="416" t="s">
        <v>956</v>
      </c>
      <c r="C100" s="399" t="s">
        <v>5</v>
      </c>
      <c r="D100" s="402">
        <v>1</v>
      </c>
      <c r="E100" s="401"/>
      <c r="F100" s="519">
        <f t="shared" ref="F100:F110" si="8">E100*D100</f>
        <v>0</v>
      </c>
    </row>
    <row r="101" spans="1:6">
      <c r="A101" s="520" t="s">
        <v>1005</v>
      </c>
      <c r="B101" s="416" t="s">
        <v>957</v>
      </c>
      <c r="C101" s="399" t="s">
        <v>5</v>
      </c>
      <c r="D101" s="402">
        <v>1</v>
      </c>
      <c r="E101" s="401"/>
      <c r="F101" s="519">
        <f t="shared" si="8"/>
        <v>0</v>
      </c>
    </row>
    <row r="102" spans="1:6">
      <c r="A102" s="520" t="s">
        <v>1006</v>
      </c>
      <c r="B102" s="416" t="s">
        <v>958</v>
      </c>
      <c r="C102" s="399" t="s">
        <v>5</v>
      </c>
      <c r="D102" s="402">
        <v>1</v>
      </c>
      <c r="E102" s="401"/>
      <c r="F102" s="519">
        <f t="shared" si="8"/>
        <v>0</v>
      </c>
    </row>
    <row r="103" spans="1:6" ht="29">
      <c r="A103" s="520" t="s">
        <v>1007</v>
      </c>
      <c r="B103" s="416" t="s">
        <v>959</v>
      </c>
      <c r="C103" s="399" t="s">
        <v>5</v>
      </c>
      <c r="D103" s="402">
        <v>1</v>
      </c>
      <c r="E103" s="401"/>
      <c r="F103" s="519">
        <f t="shared" si="8"/>
        <v>0</v>
      </c>
    </row>
    <row r="104" spans="1:6">
      <c r="A104" s="520" t="s">
        <v>1008</v>
      </c>
      <c r="B104" s="416" t="s">
        <v>960</v>
      </c>
      <c r="C104" s="399" t="s">
        <v>5</v>
      </c>
      <c r="D104" s="402">
        <v>1</v>
      </c>
      <c r="E104" s="401"/>
      <c r="F104" s="519">
        <f t="shared" si="8"/>
        <v>0</v>
      </c>
    </row>
    <row r="105" spans="1:6" ht="43.5">
      <c r="A105" s="520" t="s">
        <v>1009</v>
      </c>
      <c r="B105" s="416" t="s">
        <v>961</v>
      </c>
      <c r="C105" s="399" t="s">
        <v>5</v>
      </c>
      <c r="D105" s="402">
        <v>1</v>
      </c>
      <c r="E105" s="401"/>
      <c r="F105" s="519">
        <f t="shared" si="8"/>
        <v>0</v>
      </c>
    </row>
    <row r="106" spans="1:6" ht="43.5">
      <c r="A106" s="520" t="s">
        <v>1010</v>
      </c>
      <c r="B106" s="416" t="s">
        <v>962</v>
      </c>
      <c r="C106" s="399" t="s">
        <v>5</v>
      </c>
      <c r="D106" s="402">
        <v>1</v>
      </c>
      <c r="E106" s="401"/>
      <c r="F106" s="519">
        <f t="shared" si="8"/>
        <v>0</v>
      </c>
    </row>
    <row r="107" spans="1:6">
      <c r="A107" s="423">
        <v>15.11</v>
      </c>
      <c r="B107" s="405" t="s">
        <v>963</v>
      </c>
      <c r="C107" s="424"/>
      <c r="D107" s="425"/>
      <c r="E107" s="424"/>
      <c r="F107" s="519">
        <f t="shared" si="8"/>
        <v>0</v>
      </c>
    </row>
    <row r="108" spans="1:6">
      <c r="A108" s="520" t="s">
        <v>1011</v>
      </c>
      <c r="B108" s="416" t="s">
        <v>964</v>
      </c>
      <c r="C108" s="401" t="s">
        <v>5</v>
      </c>
      <c r="D108" s="402">
        <v>2</v>
      </c>
      <c r="E108" s="401"/>
      <c r="F108" s="519">
        <f t="shared" si="8"/>
        <v>0</v>
      </c>
    </row>
    <row r="109" spans="1:6">
      <c r="A109" s="520" t="s">
        <v>1012</v>
      </c>
      <c r="B109" s="416" t="s">
        <v>965</v>
      </c>
      <c r="C109" s="401" t="s">
        <v>146</v>
      </c>
      <c r="D109" s="402" t="s">
        <v>439</v>
      </c>
      <c r="E109" s="401"/>
      <c r="F109" s="519">
        <f>E109</f>
        <v>0</v>
      </c>
    </row>
    <row r="110" spans="1:6">
      <c r="A110" s="520"/>
      <c r="B110" s="529"/>
      <c r="C110" s="399"/>
      <c r="D110" s="402"/>
      <c r="E110" s="401"/>
      <c r="F110" s="519">
        <f t="shared" si="8"/>
        <v>0</v>
      </c>
    </row>
    <row r="111" spans="1:6">
      <c r="A111" s="423"/>
      <c r="B111" s="530" t="s">
        <v>790</v>
      </c>
      <c r="C111" s="441"/>
      <c r="D111" s="425"/>
      <c r="E111" s="424"/>
      <c r="F111" s="521">
        <f>SUM(F85:F110)</f>
        <v>0</v>
      </c>
    </row>
  </sheetData>
  <conditionalFormatting sqref="F32:F34">
    <cfRule type="cellIs" dxfId="0" priority="1" stopIfTrue="1" operator="equal">
      <formula>0</formula>
    </cfRule>
  </conditionalFormatting>
  <pageMargins left="0.7" right="0.7" top="0.75" bottom="0.75" header="0.3" footer="0.3"/>
  <pageSetup scale="70" orientation="portrait" horizontalDpi="300" verticalDpi="300" r:id="rId1"/>
  <rowBreaks count="2" manualBreakCount="2">
    <brk id="44" max="5" man="1"/>
    <brk id="83" max="16383" man="1"/>
  </rowBreaks>
  <colBreaks count="1" manualBreakCount="1">
    <brk id="6"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5"/>
  <sheetViews>
    <sheetView view="pageBreakPreview" zoomScaleNormal="100" zoomScaleSheetLayoutView="100" workbookViewId="0">
      <selection activeCell="B13" sqref="B13"/>
    </sheetView>
  </sheetViews>
  <sheetFormatPr defaultColWidth="9.08984375" defaultRowHeight="14.5"/>
  <cols>
    <col min="1" max="1" width="5.36328125" style="571" bestFit="1" customWidth="1"/>
    <col min="2" max="2" width="47.36328125" style="111" customWidth="1"/>
    <col min="3" max="3" width="5.36328125" style="574" bestFit="1" customWidth="1"/>
    <col min="4" max="4" width="5.6328125" style="575" bestFit="1" customWidth="1"/>
    <col min="5" max="5" width="9.6328125" style="572" customWidth="1"/>
    <col min="6" max="6" width="13.6328125" style="1057" bestFit="1" customWidth="1"/>
    <col min="7" max="7" width="15.08984375" style="569" bestFit="1" customWidth="1"/>
    <col min="8" max="16384" width="9.08984375" style="570"/>
  </cols>
  <sheetData>
    <row r="1" spans="1:8" s="1033" customFormat="1" ht="29">
      <c r="A1" s="1029" t="s">
        <v>20</v>
      </c>
      <c r="B1" s="1029" t="s">
        <v>1</v>
      </c>
      <c r="C1" s="1029" t="s">
        <v>424</v>
      </c>
      <c r="D1" s="1030" t="s">
        <v>426</v>
      </c>
      <c r="E1" s="1031"/>
      <c r="F1" s="1032" t="s">
        <v>21</v>
      </c>
    </row>
    <row r="2" spans="1:8" s="1041" customFormat="1">
      <c r="A2" s="1034"/>
      <c r="B2" s="1035"/>
      <c r="C2" s="1036"/>
      <c r="D2" s="1037"/>
      <c r="E2" s="1038"/>
      <c r="F2" s="1039"/>
      <c r="G2" s="1040"/>
    </row>
    <row r="3" spans="1:8" s="1041" customFormat="1">
      <c r="A3" s="1034"/>
      <c r="B3" s="1042" t="s">
        <v>1839</v>
      </c>
      <c r="C3" s="1036"/>
      <c r="D3" s="1037"/>
      <c r="E3" s="1038"/>
      <c r="F3" s="1039"/>
      <c r="G3" s="1040"/>
    </row>
    <row r="4" spans="1:8" s="1041" customFormat="1">
      <c r="A4" s="1034"/>
      <c r="B4" s="1035"/>
      <c r="C4" s="1036"/>
      <c r="D4" s="1037"/>
      <c r="E4" s="1038"/>
      <c r="F4" s="1039"/>
      <c r="G4" s="1040"/>
    </row>
    <row r="5" spans="1:8">
      <c r="A5" s="1043"/>
      <c r="B5" s="1042" t="s">
        <v>1831</v>
      </c>
      <c r="C5" s="1044"/>
      <c r="D5" s="1045"/>
      <c r="E5" s="1044"/>
      <c r="F5" s="1046"/>
    </row>
    <row r="6" spans="1:8">
      <c r="A6" s="1043"/>
      <c r="B6" s="1042" t="s">
        <v>1838</v>
      </c>
      <c r="C6" s="1044"/>
      <c r="D6" s="1045"/>
      <c r="E6" s="1044"/>
      <c r="F6" s="1046"/>
    </row>
    <row r="7" spans="1:8">
      <c r="A7" s="1043"/>
      <c r="B7" s="1042"/>
      <c r="C7" s="1044"/>
      <c r="D7" s="1045"/>
      <c r="E7" s="1044"/>
      <c r="F7" s="1046"/>
    </row>
    <row r="8" spans="1:8">
      <c r="A8" s="1043">
        <v>16</v>
      </c>
      <c r="B8" s="1042" t="s">
        <v>1832</v>
      </c>
      <c r="C8" s="1044"/>
      <c r="D8" s="1045"/>
      <c r="E8" s="1044"/>
      <c r="F8" s="1046"/>
    </row>
    <row r="9" spans="1:8">
      <c r="A9" s="1043"/>
      <c r="B9" s="1042"/>
      <c r="C9" s="1044"/>
      <c r="D9" s="1045"/>
      <c r="E9" s="1044"/>
      <c r="F9" s="1046"/>
    </row>
    <row r="10" spans="1:8">
      <c r="A10" s="1043"/>
      <c r="B10" s="1042" t="s">
        <v>1833</v>
      </c>
      <c r="C10" s="1044"/>
      <c r="D10" s="1045"/>
      <c r="E10" s="1044"/>
      <c r="F10" s="1046"/>
    </row>
    <row r="11" spans="1:8">
      <c r="A11" s="1043"/>
      <c r="B11" s="1042"/>
      <c r="C11" s="1044"/>
      <c r="D11" s="1045"/>
      <c r="E11" s="1044"/>
      <c r="F11" s="1046"/>
    </row>
    <row r="12" spans="1:8" ht="72.5">
      <c r="A12" s="1043">
        <v>16.100000000000001</v>
      </c>
      <c r="B12" s="1047" t="s">
        <v>1834</v>
      </c>
      <c r="C12" s="1044" t="s">
        <v>12</v>
      </c>
      <c r="D12" s="1045">
        <v>10</v>
      </c>
      <c r="E12" s="1044"/>
      <c r="F12" s="1048">
        <f>E12*D12</f>
        <v>0</v>
      </c>
      <c r="G12" s="1049"/>
    </row>
    <row r="13" spans="1:8" ht="87">
      <c r="A13" s="1043">
        <v>16.2</v>
      </c>
      <c r="B13" s="1047" t="s">
        <v>1835</v>
      </c>
      <c r="C13" s="1044" t="s">
        <v>12</v>
      </c>
      <c r="D13" s="1045">
        <f>D12</f>
        <v>10</v>
      </c>
      <c r="E13" s="1044"/>
      <c r="F13" s="1048">
        <f t="shared" ref="F13:F14" si="0">E13*D13</f>
        <v>0</v>
      </c>
      <c r="G13" s="1049"/>
      <c r="H13" s="1050"/>
    </row>
    <row r="14" spans="1:8" ht="87">
      <c r="A14" s="1043">
        <v>16.3</v>
      </c>
      <c r="B14" s="1047" t="s">
        <v>1836</v>
      </c>
      <c r="C14" s="1044" t="s">
        <v>12</v>
      </c>
      <c r="D14" s="1045">
        <f>D13</f>
        <v>10</v>
      </c>
      <c r="E14" s="1044"/>
      <c r="F14" s="1048">
        <f t="shared" si="0"/>
        <v>0</v>
      </c>
      <c r="G14" s="1049"/>
      <c r="H14" s="1050"/>
    </row>
    <row r="15" spans="1:8">
      <c r="A15" s="1043"/>
      <c r="B15" s="1047"/>
      <c r="C15" s="1045"/>
      <c r="D15" s="1045"/>
      <c r="E15" s="1051"/>
      <c r="F15" s="1052"/>
      <c r="H15" s="1050"/>
    </row>
    <row r="16" spans="1:8">
      <c r="A16" s="1043"/>
      <c r="B16" s="1053" t="s">
        <v>587</v>
      </c>
      <c r="C16" s="1054" t="s">
        <v>1837</v>
      </c>
      <c r="D16" s="1045"/>
      <c r="E16" s="1051"/>
      <c r="F16" s="1055">
        <f>SUM(F12:F15)</f>
        <v>0</v>
      </c>
      <c r="H16" s="1050"/>
    </row>
    <row r="17" spans="1:20" s="569" customFormat="1" ht="15" customHeight="1">
      <c r="A17" s="571"/>
      <c r="B17" s="111"/>
      <c r="C17" s="572"/>
      <c r="D17" s="573"/>
      <c r="E17" s="572"/>
      <c r="F17" s="1056"/>
      <c r="H17" s="570"/>
      <c r="I17" s="570"/>
      <c r="J17" s="570"/>
      <c r="K17" s="570"/>
      <c r="L17" s="570"/>
      <c r="M17" s="570"/>
      <c r="N17" s="570"/>
      <c r="O17" s="570"/>
      <c r="P17" s="570"/>
      <c r="Q17" s="570"/>
      <c r="R17" s="570"/>
      <c r="S17" s="570"/>
      <c r="T17" s="570"/>
    </row>
    <row r="18" spans="1:20" s="569" customFormat="1" ht="15" customHeight="1">
      <c r="A18" s="571"/>
      <c r="B18" s="111"/>
      <c r="C18" s="572"/>
      <c r="D18" s="573"/>
      <c r="E18" s="572"/>
      <c r="F18" s="1056"/>
      <c r="H18" s="570"/>
      <c r="I18" s="570"/>
      <c r="J18" s="570"/>
      <c r="K18" s="570"/>
      <c r="L18" s="570"/>
      <c r="M18" s="570"/>
      <c r="N18" s="570"/>
      <c r="O18" s="570"/>
      <c r="P18" s="570"/>
      <c r="Q18" s="570"/>
      <c r="R18" s="570"/>
      <c r="S18" s="570"/>
      <c r="T18" s="570"/>
    </row>
    <row r="19" spans="1:20" s="569" customFormat="1" ht="15" customHeight="1">
      <c r="A19" s="571"/>
      <c r="B19" s="111"/>
      <c r="C19" s="572"/>
      <c r="D19" s="573"/>
      <c r="E19" s="572"/>
      <c r="F19" s="1056"/>
      <c r="H19" s="570"/>
      <c r="I19" s="570"/>
      <c r="J19" s="570"/>
      <c r="K19" s="570"/>
      <c r="L19" s="570"/>
      <c r="M19" s="570"/>
      <c r="N19" s="570"/>
      <c r="O19" s="570"/>
      <c r="P19" s="570"/>
      <c r="Q19" s="570"/>
      <c r="R19" s="570"/>
      <c r="S19" s="570"/>
      <c r="T19" s="570"/>
    </row>
    <row r="20" spans="1:20" s="569" customFormat="1" ht="15" customHeight="1">
      <c r="A20" s="571"/>
      <c r="B20" s="111"/>
      <c r="C20" s="572"/>
      <c r="D20" s="573"/>
      <c r="E20" s="572"/>
      <c r="F20" s="1056"/>
      <c r="H20" s="570"/>
      <c r="I20" s="570"/>
      <c r="J20" s="570"/>
      <c r="K20" s="570"/>
      <c r="L20" s="570"/>
      <c r="M20" s="570"/>
      <c r="N20" s="570"/>
      <c r="O20" s="570"/>
      <c r="P20" s="570"/>
      <c r="Q20" s="570"/>
      <c r="R20" s="570"/>
      <c r="S20" s="570"/>
      <c r="T20" s="570"/>
    </row>
    <row r="21" spans="1:20" s="569" customFormat="1" ht="15" customHeight="1">
      <c r="A21" s="571"/>
      <c r="B21" s="111"/>
      <c r="C21" s="572"/>
      <c r="D21" s="573"/>
      <c r="E21" s="572"/>
      <c r="F21" s="1056"/>
      <c r="H21" s="570"/>
      <c r="I21" s="570"/>
      <c r="J21" s="570"/>
      <c r="K21" s="570"/>
      <c r="L21" s="570"/>
      <c r="M21" s="570"/>
      <c r="N21" s="570"/>
      <c r="O21" s="570"/>
      <c r="P21" s="570"/>
      <c r="Q21" s="570"/>
      <c r="R21" s="570"/>
      <c r="S21" s="570"/>
      <c r="T21" s="570"/>
    </row>
    <row r="22" spans="1:20" s="569" customFormat="1" ht="15" customHeight="1">
      <c r="A22" s="571"/>
      <c r="B22" s="111"/>
      <c r="C22" s="572"/>
      <c r="D22" s="573"/>
      <c r="E22" s="572"/>
      <c r="F22" s="1056"/>
      <c r="H22" s="570"/>
      <c r="I22" s="570"/>
      <c r="J22" s="570"/>
      <c r="K22" s="570"/>
      <c r="L22" s="570"/>
      <c r="M22" s="570"/>
      <c r="N22" s="570"/>
      <c r="O22" s="570"/>
      <c r="P22" s="570"/>
      <c r="Q22" s="570"/>
      <c r="R22" s="570"/>
      <c r="S22" s="570"/>
      <c r="T22" s="570"/>
    </row>
    <row r="23" spans="1:20" s="569" customFormat="1" ht="15" customHeight="1">
      <c r="A23" s="571"/>
      <c r="B23" s="111"/>
      <c r="C23" s="572"/>
      <c r="D23" s="573"/>
      <c r="E23" s="572"/>
      <c r="F23" s="1056"/>
      <c r="H23" s="570"/>
      <c r="I23" s="570"/>
      <c r="J23" s="570"/>
      <c r="K23" s="570"/>
      <c r="L23" s="570"/>
      <c r="M23" s="570"/>
      <c r="N23" s="570"/>
      <c r="O23" s="570"/>
      <c r="P23" s="570"/>
      <c r="Q23" s="570"/>
      <c r="R23" s="570"/>
      <c r="S23" s="570"/>
      <c r="T23" s="570"/>
    </row>
    <row r="24" spans="1:20" s="569" customFormat="1" ht="15" customHeight="1">
      <c r="A24" s="571"/>
      <c r="B24" s="111"/>
      <c r="C24" s="572"/>
      <c r="D24" s="573"/>
      <c r="E24" s="572"/>
      <c r="F24" s="1056"/>
      <c r="H24" s="570"/>
      <c r="I24" s="570"/>
      <c r="J24" s="570"/>
      <c r="K24" s="570"/>
      <c r="L24" s="570"/>
      <c r="M24" s="570"/>
      <c r="N24" s="570"/>
      <c r="O24" s="570"/>
      <c r="P24" s="570"/>
      <c r="Q24" s="570"/>
      <c r="R24" s="570"/>
      <c r="S24" s="570"/>
      <c r="T24" s="570"/>
    </row>
    <row r="25" spans="1:20" s="569" customFormat="1" ht="15" customHeight="1">
      <c r="A25" s="571"/>
      <c r="B25" s="111"/>
      <c r="C25" s="572"/>
      <c r="D25" s="573"/>
      <c r="E25" s="572"/>
      <c r="F25" s="1056"/>
      <c r="H25" s="570"/>
      <c r="I25" s="570"/>
      <c r="J25" s="570"/>
      <c r="K25" s="570"/>
      <c r="L25" s="570"/>
      <c r="M25" s="570"/>
      <c r="N25" s="570"/>
      <c r="O25" s="570"/>
      <c r="P25" s="570"/>
      <c r="Q25" s="570"/>
      <c r="R25" s="570"/>
      <c r="S25" s="570"/>
      <c r="T25" s="570"/>
    </row>
    <row r="26" spans="1:20" s="569" customFormat="1" ht="15" customHeight="1">
      <c r="A26" s="571"/>
      <c r="B26" s="111"/>
      <c r="C26" s="572"/>
      <c r="D26" s="573"/>
      <c r="E26" s="572"/>
      <c r="F26" s="1056"/>
      <c r="H26" s="570"/>
      <c r="I26" s="570"/>
      <c r="J26" s="570"/>
      <c r="K26" s="570"/>
      <c r="L26" s="570"/>
      <c r="M26" s="570"/>
      <c r="N26" s="570"/>
      <c r="O26" s="570"/>
      <c r="P26" s="570"/>
      <c r="Q26" s="570"/>
      <c r="R26" s="570"/>
      <c r="S26" s="570"/>
      <c r="T26" s="570"/>
    </row>
    <row r="27" spans="1:20" s="569" customFormat="1" ht="15" customHeight="1">
      <c r="A27" s="571"/>
      <c r="B27" s="111"/>
      <c r="C27" s="572"/>
      <c r="D27" s="573"/>
      <c r="E27" s="572"/>
      <c r="F27" s="1056"/>
      <c r="H27" s="570"/>
      <c r="I27" s="570"/>
      <c r="J27" s="570"/>
      <c r="K27" s="570"/>
      <c r="L27" s="570"/>
      <c r="M27" s="570"/>
      <c r="N27" s="570"/>
      <c r="O27" s="570"/>
      <c r="P27" s="570"/>
      <c r="Q27" s="570"/>
      <c r="R27" s="570"/>
      <c r="S27" s="570"/>
      <c r="T27" s="570"/>
    </row>
    <row r="28" spans="1:20" s="569" customFormat="1" ht="15" customHeight="1">
      <c r="A28" s="571"/>
      <c r="B28" s="111"/>
      <c r="C28" s="572"/>
      <c r="D28" s="573"/>
      <c r="E28" s="572"/>
      <c r="F28" s="1056"/>
      <c r="H28" s="570"/>
      <c r="I28" s="570"/>
      <c r="J28" s="570"/>
      <c r="K28" s="570"/>
      <c r="L28" s="570"/>
      <c r="M28" s="570"/>
      <c r="N28" s="570"/>
      <c r="O28" s="570"/>
      <c r="P28" s="570"/>
      <c r="Q28" s="570"/>
      <c r="R28" s="570"/>
      <c r="S28" s="570"/>
      <c r="T28" s="570"/>
    </row>
    <row r="29" spans="1:20" s="569" customFormat="1" ht="15" customHeight="1">
      <c r="A29" s="571"/>
      <c r="B29" s="111"/>
      <c r="C29" s="572"/>
      <c r="D29" s="573"/>
      <c r="E29" s="572"/>
      <c r="F29" s="1056"/>
      <c r="H29" s="570"/>
      <c r="I29" s="570"/>
      <c r="J29" s="570"/>
      <c r="K29" s="570"/>
      <c r="L29" s="570"/>
      <c r="M29" s="570"/>
      <c r="N29" s="570"/>
      <c r="O29" s="570"/>
      <c r="P29" s="570"/>
      <c r="Q29" s="570"/>
      <c r="R29" s="570"/>
      <c r="S29" s="570"/>
      <c r="T29" s="570"/>
    </row>
    <row r="30" spans="1:20" s="569" customFormat="1" ht="15" customHeight="1">
      <c r="A30" s="571"/>
      <c r="B30" s="111"/>
      <c r="C30" s="572"/>
      <c r="D30" s="573"/>
      <c r="E30" s="572"/>
      <c r="F30" s="1056"/>
      <c r="H30" s="570"/>
      <c r="I30" s="570"/>
      <c r="J30" s="570"/>
      <c r="K30" s="570"/>
      <c r="L30" s="570"/>
      <c r="M30" s="570"/>
      <c r="N30" s="570"/>
      <c r="O30" s="570"/>
      <c r="P30" s="570"/>
      <c r="Q30" s="570"/>
      <c r="R30" s="570"/>
      <c r="S30" s="570"/>
      <c r="T30" s="570"/>
    </row>
    <row r="31" spans="1:20" s="569" customFormat="1" ht="15" customHeight="1">
      <c r="A31" s="571"/>
      <c r="B31" s="111"/>
      <c r="C31" s="572"/>
      <c r="D31" s="573"/>
      <c r="E31" s="572"/>
      <c r="F31" s="1056"/>
      <c r="H31" s="570"/>
      <c r="I31" s="570"/>
      <c r="J31" s="570"/>
      <c r="K31" s="570"/>
      <c r="L31" s="570"/>
      <c r="M31" s="570"/>
      <c r="N31" s="570"/>
      <c r="O31" s="570"/>
      <c r="P31" s="570"/>
      <c r="Q31" s="570"/>
      <c r="R31" s="570"/>
      <c r="S31" s="570"/>
      <c r="T31" s="570"/>
    </row>
    <row r="32" spans="1:20" s="569" customFormat="1" ht="15" customHeight="1">
      <c r="A32" s="571"/>
      <c r="B32" s="111"/>
      <c r="C32" s="572"/>
      <c r="D32" s="573"/>
      <c r="E32" s="572"/>
      <c r="F32" s="1056"/>
      <c r="H32" s="570"/>
      <c r="I32" s="570"/>
      <c r="J32" s="570"/>
      <c r="K32" s="570"/>
      <c r="L32" s="570"/>
      <c r="M32" s="570"/>
      <c r="N32" s="570"/>
      <c r="O32" s="570"/>
      <c r="P32" s="570"/>
      <c r="Q32" s="570"/>
      <c r="R32" s="570"/>
      <c r="S32" s="570"/>
      <c r="T32" s="570"/>
    </row>
    <row r="33" spans="1:20" s="569" customFormat="1" ht="15" customHeight="1">
      <c r="A33" s="571"/>
      <c r="B33" s="111"/>
      <c r="C33" s="572"/>
      <c r="D33" s="573"/>
      <c r="E33" s="572"/>
      <c r="F33" s="1056"/>
      <c r="H33" s="570"/>
      <c r="I33" s="570"/>
      <c r="J33" s="570"/>
      <c r="K33" s="570"/>
      <c r="L33" s="570"/>
      <c r="M33" s="570"/>
      <c r="N33" s="570"/>
      <c r="O33" s="570"/>
      <c r="P33" s="570"/>
      <c r="Q33" s="570"/>
      <c r="R33" s="570"/>
      <c r="S33" s="570"/>
      <c r="T33" s="570"/>
    </row>
    <row r="34" spans="1:20" s="569" customFormat="1" ht="15" customHeight="1">
      <c r="A34" s="571"/>
      <c r="B34" s="111"/>
      <c r="C34" s="572"/>
      <c r="D34" s="573"/>
      <c r="E34" s="572"/>
      <c r="F34" s="1056"/>
      <c r="H34" s="570"/>
      <c r="I34" s="570"/>
      <c r="J34" s="570"/>
      <c r="K34" s="570"/>
      <c r="L34" s="570"/>
      <c r="M34" s="570"/>
      <c r="N34" s="570"/>
      <c r="O34" s="570"/>
      <c r="P34" s="570"/>
      <c r="Q34" s="570"/>
      <c r="R34" s="570"/>
      <c r="S34" s="570"/>
      <c r="T34" s="570"/>
    </row>
    <row r="35" spans="1:20" s="569" customFormat="1" ht="15" customHeight="1">
      <c r="A35" s="571"/>
      <c r="B35" s="111"/>
      <c r="C35" s="572"/>
      <c r="D35" s="573"/>
      <c r="E35" s="572"/>
      <c r="F35" s="1056"/>
      <c r="H35" s="570"/>
      <c r="I35" s="570"/>
      <c r="J35" s="570"/>
      <c r="K35" s="570"/>
      <c r="L35" s="570"/>
      <c r="M35" s="570"/>
      <c r="N35" s="570"/>
      <c r="O35" s="570"/>
      <c r="P35" s="570"/>
      <c r="Q35" s="570"/>
      <c r="R35" s="570"/>
      <c r="S35" s="570"/>
      <c r="T35" s="570"/>
    </row>
    <row r="36" spans="1:20" s="569" customFormat="1" ht="15" customHeight="1">
      <c r="A36" s="571"/>
      <c r="B36" s="111"/>
      <c r="C36" s="572"/>
      <c r="D36" s="573"/>
      <c r="E36" s="572"/>
      <c r="F36" s="1056"/>
      <c r="H36" s="570"/>
      <c r="I36" s="570"/>
      <c r="J36" s="570"/>
      <c r="K36" s="570"/>
      <c r="L36" s="570"/>
      <c r="M36" s="570"/>
      <c r="N36" s="570"/>
      <c r="O36" s="570"/>
      <c r="P36" s="570"/>
      <c r="Q36" s="570"/>
      <c r="R36" s="570"/>
      <c r="S36" s="570"/>
      <c r="T36" s="570"/>
    </row>
    <row r="37" spans="1:20" s="569" customFormat="1" ht="15" customHeight="1">
      <c r="A37" s="571"/>
      <c r="B37" s="111"/>
      <c r="C37" s="572"/>
      <c r="D37" s="573"/>
      <c r="E37" s="572"/>
      <c r="F37" s="1056"/>
      <c r="H37" s="570"/>
      <c r="I37" s="570"/>
      <c r="J37" s="570"/>
      <c r="K37" s="570"/>
      <c r="L37" s="570"/>
      <c r="M37" s="570"/>
      <c r="N37" s="570"/>
      <c r="O37" s="570"/>
      <c r="P37" s="570"/>
      <c r="Q37" s="570"/>
      <c r="R37" s="570"/>
      <c r="S37" s="570"/>
      <c r="T37" s="570"/>
    </row>
    <row r="38" spans="1:20" s="569" customFormat="1" ht="15" customHeight="1">
      <c r="A38" s="571"/>
      <c r="B38" s="111"/>
      <c r="C38" s="572"/>
      <c r="D38" s="573"/>
      <c r="E38" s="572"/>
      <c r="F38" s="1056"/>
      <c r="H38" s="570"/>
      <c r="I38" s="570"/>
      <c r="J38" s="570"/>
      <c r="K38" s="570"/>
      <c r="L38" s="570"/>
      <c r="M38" s="570"/>
      <c r="N38" s="570"/>
      <c r="O38" s="570"/>
      <c r="P38" s="570"/>
      <c r="Q38" s="570"/>
      <c r="R38" s="570"/>
      <c r="S38" s="570"/>
      <c r="T38" s="570"/>
    </row>
    <row r="39" spans="1:20" s="569" customFormat="1" ht="15" customHeight="1">
      <c r="A39" s="571"/>
      <c r="B39" s="111"/>
      <c r="C39" s="572"/>
      <c r="D39" s="573"/>
      <c r="E39" s="572"/>
      <c r="F39" s="1056"/>
      <c r="H39" s="570"/>
      <c r="I39" s="570"/>
      <c r="J39" s="570"/>
      <c r="K39" s="570"/>
      <c r="L39" s="570"/>
      <c r="M39" s="570"/>
      <c r="N39" s="570"/>
      <c r="O39" s="570"/>
      <c r="P39" s="570"/>
      <c r="Q39" s="570"/>
      <c r="R39" s="570"/>
      <c r="S39" s="570"/>
      <c r="T39" s="570"/>
    </row>
    <row r="40" spans="1:20" s="569" customFormat="1" ht="15" customHeight="1">
      <c r="A40" s="571"/>
      <c r="B40" s="111"/>
      <c r="C40" s="572"/>
      <c r="D40" s="573"/>
      <c r="E40" s="572"/>
      <c r="F40" s="1056"/>
      <c r="H40" s="570"/>
      <c r="I40" s="570"/>
      <c r="J40" s="570"/>
      <c r="K40" s="570"/>
      <c r="L40" s="570"/>
      <c r="M40" s="570"/>
      <c r="N40" s="570"/>
      <c r="O40" s="570"/>
      <c r="P40" s="570"/>
      <c r="Q40" s="570"/>
      <c r="R40" s="570"/>
      <c r="S40" s="570"/>
      <c r="T40" s="570"/>
    </row>
    <row r="41" spans="1:20" s="569" customFormat="1" ht="15" customHeight="1">
      <c r="A41" s="571"/>
      <c r="B41" s="111"/>
      <c r="C41" s="572"/>
      <c r="D41" s="573"/>
      <c r="E41" s="572"/>
      <c r="F41" s="1056"/>
      <c r="H41" s="570"/>
      <c r="I41" s="570"/>
      <c r="J41" s="570"/>
      <c r="K41" s="570"/>
      <c r="L41" s="570"/>
      <c r="M41" s="570"/>
      <c r="N41" s="570"/>
      <c r="O41" s="570"/>
      <c r="P41" s="570"/>
      <c r="Q41" s="570"/>
      <c r="R41" s="570"/>
      <c r="S41" s="570"/>
      <c r="T41" s="570"/>
    </row>
    <row r="42" spans="1:20" s="569" customFormat="1" ht="15" customHeight="1">
      <c r="A42" s="571"/>
      <c r="B42" s="111"/>
      <c r="C42" s="572"/>
      <c r="D42" s="573"/>
      <c r="E42" s="572"/>
      <c r="F42" s="1056"/>
      <c r="H42" s="570"/>
      <c r="I42" s="570"/>
      <c r="J42" s="570"/>
      <c r="K42" s="570"/>
      <c r="L42" s="570"/>
      <c r="M42" s="570"/>
      <c r="N42" s="570"/>
      <c r="O42" s="570"/>
      <c r="P42" s="570"/>
      <c r="Q42" s="570"/>
      <c r="R42" s="570"/>
      <c r="S42" s="570"/>
      <c r="T42" s="570"/>
    </row>
    <row r="43" spans="1:20" s="569" customFormat="1" ht="15" customHeight="1">
      <c r="A43" s="571"/>
      <c r="B43" s="111"/>
      <c r="C43" s="572"/>
      <c r="D43" s="573"/>
      <c r="E43" s="572"/>
      <c r="F43" s="1056"/>
      <c r="H43" s="570"/>
      <c r="I43" s="570"/>
      <c r="J43" s="570"/>
      <c r="K43" s="570"/>
      <c r="L43" s="570"/>
      <c r="M43" s="570"/>
      <c r="N43" s="570"/>
      <c r="O43" s="570"/>
      <c r="P43" s="570"/>
      <c r="Q43" s="570"/>
      <c r="R43" s="570"/>
      <c r="S43" s="570"/>
      <c r="T43" s="570"/>
    </row>
    <row r="44" spans="1:20" s="569" customFormat="1" ht="15" customHeight="1">
      <c r="A44" s="571"/>
      <c r="B44" s="111"/>
      <c r="C44" s="572"/>
      <c r="D44" s="573"/>
      <c r="E44" s="572"/>
      <c r="F44" s="1056"/>
      <c r="H44" s="570"/>
      <c r="I44" s="570"/>
      <c r="J44" s="570"/>
      <c r="K44" s="570"/>
      <c r="L44" s="570"/>
      <c r="M44" s="570"/>
      <c r="N44" s="570"/>
      <c r="O44" s="570"/>
      <c r="P44" s="570"/>
      <c r="Q44" s="570"/>
      <c r="R44" s="570"/>
      <c r="S44" s="570"/>
      <c r="T44" s="570"/>
    </row>
    <row r="45" spans="1:20" s="569" customFormat="1" ht="15" customHeight="1">
      <c r="A45" s="571"/>
      <c r="B45" s="111"/>
      <c r="C45" s="572"/>
      <c r="D45" s="573"/>
      <c r="E45" s="572"/>
      <c r="F45" s="1056"/>
      <c r="H45" s="570"/>
      <c r="I45" s="570"/>
      <c r="J45" s="570"/>
      <c r="K45" s="570"/>
      <c r="L45" s="570"/>
      <c r="M45" s="570"/>
      <c r="N45" s="570"/>
      <c r="O45" s="570"/>
      <c r="P45" s="570"/>
      <c r="Q45" s="570"/>
      <c r="R45" s="570"/>
      <c r="S45" s="570"/>
      <c r="T45" s="570"/>
    </row>
    <row r="46" spans="1:20" s="569" customFormat="1" ht="15" customHeight="1">
      <c r="A46" s="571"/>
      <c r="B46" s="111"/>
      <c r="C46" s="572"/>
      <c r="D46" s="573"/>
      <c r="E46" s="572"/>
      <c r="F46" s="1056"/>
      <c r="H46" s="570"/>
      <c r="I46" s="570"/>
      <c r="J46" s="570"/>
      <c r="K46" s="570"/>
      <c r="L46" s="570"/>
      <c r="M46" s="570"/>
      <c r="N46" s="570"/>
      <c r="O46" s="570"/>
      <c r="P46" s="570"/>
      <c r="Q46" s="570"/>
      <c r="R46" s="570"/>
      <c r="S46" s="570"/>
      <c r="T46" s="570"/>
    </row>
    <row r="47" spans="1:20" s="569" customFormat="1" ht="15" customHeight="1">
      <c r="A47" s="571"/>
      <c r="B47" s="111"/>
      <c r="C47" s="572"/>
      <c r="D47" s="573"/>
      <c r="E47" s="572"/>
      <c r="F47" s="1056"/>
      <c r="H47" s="570"/>
      <c r="I47" s="570"/>
      <c r="J47" s="570"/>
      <c r="K47" s="570"/>
      <c r="L47" s="570"/>
      <c r="M47" s="570"/>
      <c r="N47" s="570"/>
      <c r="O47" s="570"/>
      <c r="P47" s="570"/>
      <c r="Q47" s="570"/>
      <c r="R47" s="570"/>
      <c r="S47" s="570"/>
      <c r="T47" s="570"/>
    </row>
    <row r="48" spans="1:20" s="569" customFormat="1" ht="15" customHeight="1">
      <c r="A48" s="571"/>
      <c r="B48" s="111"/>
      <c r="C48" s="572"/>
      <c r="D48" s="573"/>
      <c r="E48" s="572"/>
      <c r="F48" s="1056"/>
      <c r="H48" s="570"/>
      <c r="I48" s="570"/>
      <c r="J48" s="570"/>
      <c r="K48" s="570"/>
      <c r="L48" s="570"/>
      <c r="M48" s="570"/>
      <c r="N48" s="570"/>
      <c r="O48" s="570"/>
      <c r="P48" s="570"/>
      <c r="Q48" s="570"/>
      <c r="R48" s="570"/>
      <c r="S48" s="570"/>
      <c r="T48" s="570"/>
    </row>
    <row r="49" spans="1:20" s="569" customFormat="1" ht="15" customHeight="1">
      <c r="A49" s="571"/>
      <c r="B49" s="111"/>
      <c r="C49" s="572"/>
      <c r="D49" s="573"/>
      <c r="E49" s="572"/>
      <c r="F49" s="1056"/>
      <c r="H49" s="570"/>
      <c r="I49" s="570"/>
      <c r="J49" s="570"/>
      <c r="K49" s="570"/>
      <c r="L49" s="570"/>
      <c r="M49" s="570"/>
      <c r="N49" s="570"/>
      <c r="O49" s="570"/>
      <c r="P49" s="570"/>
      <c r="Q49" s="570"/>
      <c r="R49" s="570"/>
      <c r="S49" s="570"/>
      <c r="T49" s="570"/>
    </row>
    <row r="50" spans="1:20" s="569" customFormat="1" ht="15" customHeight="1">
      <c r="A50" s="571"/>
      <c r="B50" s="111"/>
      <c r="C50" s="572"/>
      <c r="D50" s="573"/>
      <c r="E50" s="572"/>
      <c r="F50" s="1056"/>
      <c r="H50" s="570"/>
      <c r="I50" s="570"/>
      <c r="J50" s="570"/>
      <c r="K50" s="570"/>
      <c r="L50" s="570"/>
      <c r="M50" s="570"/>
      <c r="N50" s="570"/>
      <c r="O50" s="570"/>
      <c r="P50" s="570"/>
      <c r="Q50" s="570"/>
      <c r="R50" s="570"/>
      <c r="S50" s="570"/>
      <c r="T50" s="570"/>
    </row>
    <row r="51" spans="1:20" s="569" customFormat="1" ht="15" customHeight="1">
      <c r="A51" s="571"/>
      <c r="B51" s="111"/>
      <c r="C51" s="572"/>
      <c r="D51" s="573"/>
      <c r="E51" s="572"/>
      <c r="F51" s="1056"/>
      <c r="H51" s="570"/>
      <c r="I51" s="570"/>
      <c r="J51" s="570"/>
      <c r="K51" s="570"/>
      <c r="L51" s="570"/>
      <c r="M51" s="570"/>
      <c r="N51" s="570"/>
      <c r="O51" s="570"/>
      <c r="P51" s="570"/>
      <c r="Q51" s="570"/>
      <c r="R51" s="570"/>
      <c r="S51" s="570"/>
      <c r="T51" s="570"/>
    </row>
    <row r="52" spans="1:20" s="569" customFormat="1" ht="15" customHeight="1">
      <c r="A52" s="571"/>
      <c r="B52" s="111"/>
      <c r="C52" s="572"/>
      <c r="D52" s="573"/>
      <c r="E52" s="572"/>
      <c r="F52" s="1056"/>
      <c r="H52" s="570"/>
      <c r="I52" s="570"/>
      <c r="J52" s="570"/>
      <c r="K52" s="570"/>
      <c r="L52" s="570"/>
      <c r="M52" s="570"/>
      <c r="N52" s="570"/>
      <c r="O52" s="570"/>
      <c r="P52" s="570"/>
      <c r="Q52" s="570"/>
      <c r="R52" s="570"/>
      <c r="S52" s="570"/>
      <c r="T52" s="570"/>
    </row>
    <row r="53" spans="1:20" s="569" customFormat="1" ht="15" customHeight="1">
      <c r="A53" s="571"/>
      <c r="B53" s="111"/>
      <c r="C53" s="572"/>
      <c r="D53" s="573"/>
      <c r="E53" s="572"/>
      <c r="F53" s="1056"/>
      <c r="H53" s="570"/>
      <c r="I53" s="570"/>
      <c r="J53" s="570"/>
      <c r="K53" s="570"/>
      <c r="L53" s="570"/>
      <c r="M53" s="570"/>
      <c r="N53" s="570"/>
      <c r="O53" s="570"/>
      <c r="P53" s="570"/>
      <c r="Q53" s="570"/>
      <c r="R53" s="570"/>
      <c r="S53" s="570"/>
      <c r="T53" s="570"/>
    </row>
    <row r="54" spans="1:20" s="569" customFormat="1" ht="15" customHeight="1">
      <c r="A54" s="571"/>
      <c r="B54" s="111"/>
      <c r="C54" s="572"/>
      <c r="D54" s="573"/>
      <c r="E54" s="572"/>
      <c r="F54" s="1056"/>
      <c r="H54" s="570"/>
      <c r="I54" s="570"/>
      <c r="J54" s="570"/>
      <c r="K54" s="570"/>
      <c r="L54" s="570"/>
      <c r="M54" s="570"/>
      <c r="N54" s="570"/>
      <c r="O54" s="570"/>
      <c r="P54" s="570"/>
      <c r="Q54" s="570"/>
      <c r="R54" s="570"/>
      <c r="S54" s="570"/>
      <c r="T54" s="570"/>
    </row>
    <row r="55" spans="1:20" s="569" customFormat="1" ht="15" customHeight="1">
      <c r="A55" s="571"/>
      <c r="B55" s="111"/>
      <c r="C55" s="572"/>
      <c r="D55" s="573"/>
      <c r="E55" s="572"/>
      <c r="F55" s="1056"/>
      <c r="H55" s="570"/>
      <c r="I55" s="570"/>
      <c r="J55" s="570"/>
      <c r="K55" s="570"/>
      <c r="L55" s="570"/>
      <c r="M55" s="570"/>
      <c r="N55" s="570"/>
      <c r="O55" s="570"/>
      <c r="P55" s="570"/>
      <c r="Q55" s="570"/>
      <c r="R55" s="570"/>
      <c r="S55" s="570"/>
      <c r="T55" s="570"/>
    </row>
    <row r="56" spans="1:20" s="569" customFormat="1" ht="15" customHeight="1">
      <c r="A56" s="571"/>
      <c r="B56" s="111"/>
      <c r="C56" s="572"/>
      <c r="D56" s="573"/>
      <c r="E56" s="572"/>
      <c r="F56" s="1056"/>
      <c r="H56" s="570"/>
      <c r="I56" s="570"/>
      <c r="J56" s="570"/>
      <c r="K56" s="570"/>
      <c r="L56" s="570"/>
      <c r="M56" s="570"/>
      <c r="N56" s="570"/>
      <c r="O56" s="570"/>
      <c r="P56" s="570"/>
      <c r="Q56" s="570"/>
      <c r="R56" s="570"/>
      <c r="S56" s="570"/>
      <c r="T56" s="570"/>
    </row>
    <row r="57" spans="1:20" s="569" customFormat="1" ht="15" customHeight="1">
      <c r="A57" s="571"/>
      <c r="B57" s="111"/>
      <c r="C57" s="572"/>
      <c r="D57" s="573"/>
      <c r="E57" s="572"/>
      <c r="F57" s="1056"/>
      <c r="H57" s="570"/>
      <c r="I57" s="570"/>
      <c r="J57" s="570"/>
      <c r="K57" s="570"/>
      <c r="L57" s="570"/>
      <c r="M57" s="570"/>
      <c r="N57" s="570"/>
      <c r="O57" s="570"/>
      <c r="P57" s="570"/>
      <c r="Q57" s="570"/>
      <c r="R57" s="570"/>
      <c r="S57" s="570"/>
      <c r="T57" s="570"/>
    </row>
    <row r="58" spans="1:20" s="569" customFormat="1" ht="15" customHeight="1">
      <c r="A58" s="571"/>
      <c r="B58" s="111"/>
      <c r="C58" s="572"/>
      <c r="D58" s="573"/>
      <c r="E58" s="572"/>
      <c r="F58" s="1056"/>
      <c r="H58" s="570"/>
      <c r="I58" s="570"/>
      <c r="J58" s="570"/>
      <c r="K58" s="570"/>
      <c r="L58" s="570"/>
      <c r="M58" s="570"/>
      <c r="N58" s="570"/>
      <c r="O58" s="570"/>
      <c r="P58" s="570"/>
      <c r="Q58" s="570"/>
      <c r="R58" s="570"/>
      <c r="S58" s="570"/>
      <c r="T58" s="570"/>
    </row>
    <row r="59" spans="1:20" s="569" customFormat="1" ht="15" customHeight="1">
      <c r="A59" s="571"/>
      <c r="B59" s="111"/>
      <c r="C59" s="572"/>
      <c r="D59" s="573"/>
      <c r="E59" s="572"/>
      <c r="F59" s="1056"/>
      <c r="H59" s="570"/>
      <c r="I59" s="570"/>
      <c r="J59" s="570"/>
      <c r="K59" s="570"/>
      <c r="L59" s="570"/>
      <c r="M59" s="570"/>
      <c r="N59" s="570"/>
      <c r="O59" s="570"/>
      <c r="P59" s="570"/>
      <c r="Q59" s="570"/>
      <c r="R59" s="570"/>
      <c r="S59" s="570"/>
      <c r="T59" s="570"/>
    </row>
    <row r="60" spans="1:20" s="569" customFormat="1" ht="15" customHeight="1">
      <c r="A60" s="571"/>
      <c r="B60" s="111"/>
      <c r="C60" s="572"/>
      <c r="D60" s="573"/>
      <c r="E60" s="572"/>
      <c r="F60" s="1056"/>
      <c r="H60" s="570"/>
      <c r="I60" s="570"/>
      <c r="J60" s="570"/>
      <c r="K60" s="570"/>
      <c r="L60" s="570"/>
      <c r="M60" s="570"/>
      <c r="N60" s="570"/>
      <c r="O60" s="570"/>
      <c r="P60" s="570"/>
      <c r="Q60" s="570"/>
      <c r="R60" s="570"/>
      <c r="S60" s="570"/>
      <c r="T60" s="570"/>
    </row>
    <row r="61" spans="1:20" s="569" customFormat="1" ht="15" customHeight="1">
      <c r="A61" s="571"/>
      <c r="B61" s="111"/>
      <c r="C61" s="572"/>
      <c r="D61" s="573"/>
      <c r="E61" s="572"/>
      <c r="F61" s="1056"/>
      <c r="H61" s="570"/>
      <c r="I61" s="570"/>
      <c r="J61" s="570"/>
      <c r="K61" s="570"/>
      <c r="L61" s="570"/>
      <c r="M61" s="570"/>
      <c r="N61" s="570"/>
      <c r="O61" s="570"/>
      <c r="P61" s="570"/>
      <c r="Q61" s="570"/>
      <c r="R61" s="570"/>
      <c r="S61" s="570"/>
      <c r="T61" s="570"/>
    </row>
    <row r="62" spans="1:20" s="569" customFormat="1" ht="15" customHeight="1">
      <c r="A62" s="571"/>
      <c r="B62" s="111"/>
      <c r="C62" s="572"/>
      <c r="D62" s="573"/>
      <c r="E62" s="572"/>
      <c r="F62" s="1056"/>
      <c r="H62" s="570"/>
      <c r="I62" s="570"/>
      <c r="J62" s="570"/>
      <c r="K62" s="570"/>
      <c r="L62" s="570"/>
      <c r="M62" s="570"/>
      <c r="N62" s="570"/>
      <c r="O62" s="570"/>
      <c r="P62" s="570"/>
      <c r="Q62" s="570"/>
      <c r="R62" s="570"/>
      <c r="S62" s="570"/>
      <c r="T62" s="570"/>
    </row>
    <row r="63" spans="1:20" s="569" customFormat="1" ht="15" customHeight="1">
      <c r="A63" s="571"/>
      <c r="B63" s="111"/>
      <c r="C63" s="572"/>
      <c r="D63" s="573"/>
      <c r="E63" s="572"/>
      <c r="F63" s="1056"/>
      <c r="H63" s="570"/>
      <c r="I63" s="570"/>
      <c r="J63" s="570"/>
      <c r="K63" s="570"/>
      <c r="L63" s="570"/>
      <c r="M63" s="570"/>
      <c r="N63" s="570"/>
      <c r="O63" s="570"/>
      <c r="P63" s="570"/>
      <c r="Q63" s="570"/>
      <c r="R63" s="570"/>
      <c r="S63" s="570"/>
      <c r="T63" s="570"/>
    </row>
    <row r="64" spans="1:20" s="569" customFormat="1" ht="15" customHeight="1">
      <c r="A64" s="571"/>
      <c r="B64" s="111"/>
      <c r="C64" s="572"/>
      <c r="D64" s="573"/>
      <c r="E64" s="572"/>
      <c r="F64" s="1056"/>
      <c r="H64" s="570"/>
      <c r="I64" s="570"/>
      <c r="J64" s="570"/>
      <c r="K64" s="570"/>
      <c r="L64" s="570"/>
      <c r="M64" s="570"/>
      <c r="N64" s="570"/>
      <c r="O64" s="570"/>
      <c r="P64" s="570"/>
      <c r="Q64" s="570"/>
      <c r="R64" s="570"/>
      <c r="S64" s="570"/>
      <c r="T64" s="570"/>
    </row>
    <row r="65" spans="1:20" s="569" customFormat="1" ht="15" customHeight="1">
      <c r="A65" s="571"/>
      <c r="B65" s="111"/>
      <c r="C65" s="572"/>
      <c r="D65" s="573"/>
      <c r="E65" s="572"/>
      <c r="F65" s="1056"/>
      <c r="H65" s="570"/>
      <c r="I65" s="570"/>
      <c r="J65" s="570"/>
      <c r="K65" s="570"/>
      <c r="L65" s="570"/>
      <c r="M65" s="570"/>
      <c r="N65" s="570"/>
      <c r="O65" s="570"/>
      <c r="P65" s="570"/>
      <c r="Q65" s="570"/>
      <c r="R65" s="570"/>
      <c r="S65" s="570"/>
      <c r="T65" s="570"/>
    </row>
    <row r="66" spans="1:20" s="569" customFormat="1" ht="15" customHeight="1">
      <c r="A66" s="571"/>
      <c r="B66" s="111"/>
      <c r="C66" s="572"/>
      <c r="D66" s="573"/>
      <c r="E66" s="572"/>
      <c r="F66" s="1056"/>
      <c r="H66" s="570"/>
      <c r="I66" s="570"/>
      <c r="J66" s="570"/>
      <c r="K66" s="570"/>
      <c r="L66" s="570"/>
      <c r="M66" s="570"/>
      <c r="N66" s="570"/>
      <c r="O66" s="570"/>
      <c r="P66" s="570"/>
      <c r="Q66" s="570"/>
      <c r="R66" s="570"/>
      <c r="S66" s="570"/>
      <c r="T66" s="570"/>
    </row>
    <row r="67" spans="1:20" s="569" customFormat="1" ht="15" customHeight="1">
      <c r="A67" s="571"/>
      <c r="B67" s="111"/>
      <c r="C67" s="572"/>
      <c r="D67" s="573"/>
      <c r="E67" s="572"/>
      <c r="F67" s="1056"/>
      <c r="H67" s="570"/>
      <c r="I67" s="570"/>
      <c r="J67" s="570"/>
      <c r="K67" s="570"/>
      <c r="L67" s="570"/>
      <c r="M67" s="570"/>
      <c r="N67" s="570"/>
      <c r="O67" s="570"/>
      <c r="P67" s="570"/>
      <c r="Q67" s="570"/>
      <c r="R67" s="570"/>
      <c r="S67" s="570"/>
      <c r="T67" s="570"/>
    </row>
    <row r="68" spans="1:20" s="569" customFormat="1" ht="15" customHeight="1">
      <c r="A68" s="571"/>
      <c r="B68" s="111"/>
      <c r="C68" s="572"/>
      <c r="D68" s="573"/>
      <c r="E68" s="572"/>
      <c r="F68" s="1056"/>
      <c r="H68" s="570"/>
      <c r="I68" s="570"/>
      <c r="J68" s="570"/>
      <c r="K68" s="570"/>
      <c r="L68" s="570"/>
      <c r="M68" s="570"/>
      <c r="N68" s="570"/>
      <c r="O68" s="570"/>
      <c r="P68" s="570"/>
      <c r="Q68" s="570"/>
      <c r="R68" s="570"/>
      <c r="S68" s="570"/>
      <c r="T68" s="570"/>
    </row>
    <row r="69" spans="1:20" s="569" customFormat="1" ht="15" customHeight="1">
      <c r="A69" s="571"/>
      <c r="B69" s="111"/>
      <c r="C69" s="572"/>
      <c r="D69" s="573"/>
      <c r="E69" s="572"/>
      <c r="F69" s="1056"/>
      <c r="H69" s="570"/>
      <c r="I69" s="570"/>
      <c r="J69" s="570"/>
      <c r="K69" s="570"/>
      <c r="L69" s="570"/>
      <c r="M69" s="570"/>
      <c r="N69" s="570"/>
      <c r="O69" s="570"/>
      <c r="P69" s="570"/>
      <c r="Q69" s="570"/>
      <c r="R69" s="570"/>
      <c r="S69" s="570"/>
      <c r="T69" s="570"/>
    </row>
    <row r="70" spans="1:20" s="569" customFormat="1" ht="15" customHeight="1">
      <c r="A70" s="571"/>
      <c r="B70" s="111"/>
      <c r="C70" s="572"/>
      <c r="D70" s="573"/>
      <c r="E70" s="572"/>
      <c r="F70" s="1056"/>
      <c r="H70" s="570"/>
      <c r="I70" s="570"/>
      <c r="J70" s="570"/>
      <c r="K70" s="570"/>
      <c r="L70" s="570"/>
      <c r="M70" s="570"/>
      <c r="N70" s="570"/>
      <c r="O70" s="570"/>
      <c r="P70" s="570"/>
      <c r="Q70" s="570"/>
      <c r="R70" s="570"/>
      <c r="S70" s="570"/>
      <c r="T70" s="570"/>
    </row>
    <row r="71" spans="1:20" s="569" customFormat="1" ht="15" customHeight="1">
      <c r="A71" s="571"/>
      <c r="B71" s="111"/>
      <c r="C71" s="572"/>
      <c r="D71" s="573"/>
      <c r="E71" s="572"/>
      <c r="F71" s="1056"/>
      <c r="H71" s="570"/>
      <c r="I71" s="570"/>
      <c r="J71" s="570"/>
      <c r="K71" s="570"/>
      <c r="L71" s="570"/>
      <c r="M71" s="570"/>
      <c r="N71" s="570"/>
      <c r="O71" s="570"/>
      <c r="P71" s="570"/>
      <c r="Q71" s="570"/>
      <c r="R71" s="570"/>
      <c r="S71" s="570"/>
      <c r="T71" s="570"/>
    </row>
    <row r="72" spans="1:20" s="569" customFormat="1" ht="15" customHeight="1">
      <c r="A72" s="571"/>
      <c r="B72" s="111"/>
      <c r="C72" s="572"/>
      <c r="D72" s="573"/>
      <c r="E72" s="572"/>
      <c r="F72" s="1056"/>
      <c r="H72" s="570"/>
      <c r="I72" s="570"/>
      <c r="J72" s="570"/>
      <c r="K72" s="570"/>
      <c r="L72" s="570"/>
      <c r="M72" s="570"/>
      <c r="N72" s="570"/>
      <c r="O72" s="570"/>
      <c r="P72" s="570"/>
      <c r="Q72" s="570"/>
      <c r="R72" s="570"/>
      <c r="S72" s="570"/>
      <c r="T72" s="570"/>
    </row>
    <row r="73" spans="1:20" s="569" customFormat="1" ht="15" customHeight="1">
      <c r="A73" s="571"/>
      <c r="B73" s="111"/>
      <c r="C73" s="572"/>
      <c r="D73" s="573"/>
      <c r="E73" s="572"/>
      <c r="F73" s="1056"/>
      <c r="H73" s="570"/>
      <c r="I73" s="570"/>
      <c r="J73" s="570"/>
      <c r="K73" s="570"/>
      <c r="L73" s="570"/>
      <c r="M73" s="570"/>
      <c r="N73" s="570"/>
      <c r="O73" s="570"/>
      <c r="P73" s="570"/>
      <c r="Q73" s="570"/>
      <c r="R73" s="570"/>
      <c r="S73" s="570"/>
      <c r="T73" s="570"/>
    </row>
    <row r="74" spans="1:20" s="569" customFormat="1" ht="15" customHeight="1">
      <c r="A74" s="571"/>
      <c r="B74" s="111"/>
      <c r="C74" s="572"/>
      <c r="D74" s="573"/>
      <c r="E74" s="572"/>
      <c r="F74" s="1056"/>
      <c r="H74" s="570"/>
      <c r="I74" s="570"/>
      <c r="J74" s="570"/>
      <c r="K74" s="570"/>
      <c r="L74" s="570"/>
      <c r="M74" s="570"/>
      <c r="N74" s="570"/>
      <c r="O74" s="570"/>
      <c r="P74" s="570"/>
      <c r="Q74" s="570"/>
      <c r="R74" s="570"/>
      <c r="S74" s="570"/>
      <c r="T74" s="570"/>
    </row>
    <row r="75" spans="1:20" s="569" customFormat="1" ht="15" customHeight="1">
      <c r="A75" s="571"/>
      <c r="B75" s="111"/>
      <c r="C75" s="572"/>
      <c r="D75" s="573"/>
      <c r="E75" s="572"/>
      <c r="F75" s="1056"/>
      <c r="H75" s="570"/>
      <c r="I75" s="570"/>
      <c r="J75" s="570"/>
      <c r="K75" s="570"/>
      <c r="L75" s="570"/>
      <c r="M75" s="570"/>
      <c r="N75" s="570"/>
      <c r="O75" s="570"/>
      <c r="P75" s="570"/>
      <c r="Q75" s="570"/>
      <c r="R75" s="570"/>
      <c r="S75" s="570"/>
      <c r="T75" s="570"/>
    </row>
    <row r="76" spans="1:20" s="569" customFormat="1" ht="15" customHeight="1">
      <c r="A76" s="571"/>
      <c r="B76" s="111"/>
      <c r="C76" s="572"/>
      <c r="D76" s="573"/>
      <c r="E76" s="572"/>
      <c r="F76" s="1056"/>
      <c r="H76" s="570"/>
      <c r="I76" s="570"/>
      <c r="J76" s="570"/>
      <c r="K76" s="570"/>
      <c r="L76" s="570"/>
      <c r="M76" s="570"/>
      <c r="N76" s="570"/>
      <c r="O76" s="570"/>
      <c r="P76" s="570"/>
      <c r="Q76" s="570"/>
      <c r="R76" s="570"/>
      <c r="S76" s="570"/>
      <c r="T76" s="570"/>
    </row>
    <row r="77" spans="1:20" s="569" customFormat="1" ht="15" customHeight="1">
      <c r="A77" s="571"/>
      <c r="B77" s="111"/>
      <c r="C77" s="572"/>
      <c r="D77" s="573"/>
      <c r="E77" s="572"/>
      <c r="F77" s="1056"/>
      <c r="H77" s="570"/>
      <c r="I77" s="570"/>
      <c r="J77" s="570"/>
      <c r="K77" s="570"/>
      <c r="L77" s="570"/>
      <c r="M77" s="570"/>
      <c r="N77" s="570"/>
      <c r="O77" s="570"/>
      <c r="P77" s="570"/>
      <c r="Q77" s="570"/>
      <c r="R77" s="570"/>
      <c r="S77" s="570"/>
      <c r="T77" s="570"/>
    </row>
    <row r="78" spans="1:20" s="569" customFormat="1" ht="15" customHeight="1">
      <c r="A78" s="571"/>
      <c r="B78" s="111"/>
      <c r="C78" s="572"/>
      <c r="D78" s="573"/>
      <c r="E78" s="572"/>
      <c r="F78" s="1056"/>
      <c r="H78" s="570"/>
      <c r="I78" s="570"/>
      <c r="J78" s="570"/>
      <c r="K78" s="570"/>
      <c r="L78" s="570"/>
      <c r="M78" s="570"/>
      <c r="N78" s="570"/>
      <c r="O78" s="570"/>
      <c r="P78" s="570"/>
      <c r="Q78" s="570"/>
      <c r="R78" s="570"/>
      <c r="S78" s="570"/>
      <c r="T78" s="570"/>
    </row>
    <row r="79" spans="1:20" s="569" customFormat="1" ht="15" customHeight="1">
      <c r="A79" s="571"/>
      <c r="B79" s="111"/>
      <c r="C79" s="572"/>
      <c r="D79" s="573"/>
      <c r="E79" s="572"/>
      <c r="F79" s="1056"/>
      <c r="H79" s="570"/>
      <c r="I79" s="570"/>
      <c r="J79" s="570"/>
      <c r="K79" s="570"/>
      <c r="L79" s="570"/>
      <c r="M79" s="570"/>
      <c r="N79" s="570"/>
      <c r="O79" s="570"/>
      <c r="P79" s="570"/>
      <c r="Q79" s="570"/>
      <c r="R79" s="570"/>
      <c r="S79" s="570"/>
      <c r="T79" s="570"/>
    </row>
    <row r="80" spans="1:20" s="569" customFormat="1" ht="15" customHeight="1">
      <c r="A80" s="571"/>
      <c r="B80" s="111"/>
      <c r="C80" s="572"/>
      <c r="D80" s="573"/>
      <c r="E80" s="572"/>
      <c r="F80" s="1056"/>
      <c r="H80" s="570"/>
      <c r="I80" s="570"/>
      <c r="J80" s="570"/>
      <c r="K80" s="570"/>
      <c r="L80" s="570"/>
      <c r="M80" s="570"/>
      <c r="N80" s="570"/>
      <c r="O80" s="570"/>
      <c r="P80" s="570"/>
      <c r="Q80" s="570"/>
      <c r="R80" s="570"/>
      <c r="S80" s="570"/>
      <c r="T80" s="570"/>
    </row>
    <row r="81" spans="1:20" s="569" customFormat="1" ht="15" customHeight="1">
      <c r="A81" s="571"/>
      <c r="B81" s="111"/>
      <c r="C81" s="572"/>
      <c r="D81" s="573"/>
      <c r="E81" s="572"/>
      <c r="F81" s="1056"/>
      <c r="H81" s="570"/>
      <c r="I81" s="570"/>
      <c r="J81" s="570"/>
      <c r="K81" s="570"/>
      <c r="L81" s="570"/>
      <c r="M81" s="570"/>
      <c r="N81" s="570"/>
      <c r="O81" s="570"/>
      <c r="P81" s="570"/>
      <c r="Q81" s="570"/>
      <c r="R81" s="570"/>
      <c r="S81" s="570"/>
      <c r="T81" s="570"/>
    </row>
    <row r="82" spans="1:20" s="569" customFormat="1" ht="15" customHeight="1">
      <c r="A82" s="571"/>
      <c r="B82" s="111"/>
      <c r="C82" s="572"/>
      <c r="D82" s="573"/>
      <c r="E82" s="572"/>
      <c r="F82" s="1056"/>
      <c r="H82" s="570"/>
      <c r="I82" s="570"/>
      <c r="J82" s="570"/>
      <c r="K82" s="570"/>
      <c r="L82" s="570"/>
      <c r="M82" s="570"/>
      <c r="N82" s="570"/>
      <c r="O82" s="570"/>
      <c r="P82" s="570"/>
      <c r="Q82" s="570"/>
      <c r="R82" s="570"/>
      <c r="S82" s="570"/>
      <c r="T82" s="570"/>
    </row>
    <row r="83" spans="1:20" s="569" customFormat="1" ht="15" customHeight="1">
      <c r="A83" s="571"/>
      <c r="B83" s="111"/>
      <c r="C83" s="572"/>
      <c r="D83" s="573"/>
      <c r="E83" s="572"/>
      <c r="F83" s="1056"/>
      <c r="H83" s="570"/>
      <c r="I83" s="570"/>
      <c r="J83" s="570"/>
      <c r="K83" s="570"/>
      <c r="L83" s="570"/>
      <c r="M83" s="570"/>
      <c r="N83" s="570"/>
      <c r="O83" s="570"/>
      <c r="P83" s="570"/>
      <c r="Q83" s="570"/>
      <c r="R83" s="570"/>
      <c r="S83" s="570"/>
      <c r="T83" s="570"/>
    </row>
    <row r="84" spans="1:20" s="569" customFormat="1" ht="15" customHeight="1">
      <c r="A84" s="571"/>
      <c r="B84" s="111"/>
      <c r="C84" s="572"/>
      <c r="D84" s="573"/>
      <c r="E84" s="572"/>
      <c r="F84" s="1056"/>
      <c r="H84" s="570"/>
      <c r="I84" s="570"/>
      <c r="J84" s="570"/>
      <c r="K84" s="570"/>
      <c r="L84" s="570"/>
      <c r="M84" s="570"/>
      <c r="N84" s="570"/>
      <c r="O84" s="570"/>
      <c r="P84" s="570"/>
      <c r="Q84" s="570"/>
      <c r="R84" s="570"/>
      <c r="S84" s="570"/>
      <c r="T84" s="570"/>
    </row>
    <row r="85" spans="1:20" s="569" customFormat="1" ht="15" customHeight="1">
      <c r="A85" s="571"/>
      <c r="B85" s="111"/>
      <c r="C85" s="572"/>
      <c r="D85" s="573"/>
      <c r="E85" s="572"/>
      <c r="F85" s="1056"/>
      <c r="H85" s="570"/>
      <c r="I85" s="570"/>
      <c r="J85" s="570"/>
      <c r="K85" s="570"/>
      <c r="L85" s="570"/>
      <c r="M85" s="570"/>
      <c r="N85" s="570"/>
      <c r="O85" s="570"/>
      <c r="P85" s="570"/>
      <c r="Q85" s="570"/>
      <c r="R85" s="570"/>
      <c r="S85" s="570"/>
      <c r="T85" s="570"/>
    </row>
    <row r="86" spans="1:20" s="569" customFormat="1" ht="15" customHeight="1">
      <c r="A86" s="571"/>
      <c r="B86" s="111"/>
      <c r="C86" s="572"/>
      <c r="D86" s="573"/>
      <c r="E86" s="572"/>
      <c r="F86" s="1056"/>
      <c r="H86" s="570"/>
      <c r="I86" s="570"/>
      <c r="J86" s="570"/>
      <c r="K86" s="570"/>
      <c r="L86" s="570"/>
      <c r="M86" s="570"/>
      <c r="N86" s="570"/>
      <c r="O86" s="570"/>
      <c r="P86" s="570"/>
      <c r="Q86" s="570"/>
      <c r="R86" s="570"/>
      <c r="S86" s="570"/>
      <c r="T86" s="570"/>
    </row>
    <row r="87" spans="1:20" s="569" customFormat="1" ht="15" customHeight="1">
      <c r="A87" s="571"/>
      <c r="B87" s="111"/>
      <c r="C87" s="572"/>
      <c r="D87" s="573"/>
      <c r="E87" s="572"/>
      <c r="F87" s="1056"/>
      <c r="H87" s="570"/>
      <c r="I87" s="570"/>
      <c r="J87" s="570"/>
      <c r="K87" s="570"/>
      <c r="L87" s="570"/>
      <c r="M87" s="570"/>
      <c r="N87" s="570"/>
      <c r="O87" s="570"/>
      <c r="P87" s="570"/>
      <c r="Q87" s="570"/>
      <c r="R87" s="570"/>
      <c r="S87" s="570"/>
      <c r="T87" s="570"/>
    </row>
    <row r="88" spans="1:20" s="569" customFormat="1" ht="15" customHeight="1">
      <c r="A88" s="571"/>
      <c r="B88" s="111"/>
      <c r="C88" s="572"/>
      <c r="D88" s="573"/>
      <c r="E88" s="572"/>
      <c r="F88" s="1056"/>
      <c r="H88" s="570"/>
      <c r="I88" s="570"/>
      <c r="J88" s="570"/>
      <c r="K88" s="570"/>
      <c r="L88" s="570"/>
      <c r="M88" s="570"/>
      <c r="N88" s="570"/>
      <c r="O88" s="570"/>
      <c r="P88" s="570"/>
      <c r="Q88" s="570"/>
      <c r="R88" s="570"/>
      <c r="S88" s="570"/>
      <c r="T88" s="570"/>
    </row>
    <row r="89" spans="1:20" s="569" customFormat="1" ht="15" customHeight="1">
      <c r="A89" s="571"/>
      <c r="B89" s="111"/>
      <c r="C89" s="572"/>
      <c r="D89" s="573"/>
      <c r="E89" s="572"/>
      <c r="F89" s="1056"/>
      <c r="H89" s="570"/>
      <c r="I89" s="570"/>
      <c r="J89" s="570"/>
      <c r="K89" s="570"/>
      <c r="L89" s="570"/>
      <c r="M89" s="570"/>
      <c r="N89" s="570"/>
      <c r="O89" s="570"/>
      <c r="P89" s="570"/>
      <c r="Q89" s="570"/>
      <c r="R89" s="570"/>
      <c r="S89" s="570"/>
      <c r="T89" s="570"/>
    </row>
    <row r="90" spans="1:20" s="569" customFormat="1" ht="15" customHeight="1">
      <c r="A90" s="571"/>
      <c r="B90" s="111"/>
      <c r="C90" s="572"/>
      <c r="D90" s="573"/>
      <c r="E90" s="572"/>
      <c r="F90" s="1056"/>
      <c r="H90" s="570"/>
      <c r="I90" s="570"/>
      <c r="J90" s="570"/>
      <c r="K90" s="570"/>
      <c r="L90" s="570"/>
      <c r="M90" s="570"/>
      <c r="N90" s="570"/>
      <c r="O90" s="570"/>
      <c r="P90" s="570"/>
      <c r="Q90" s="570"/>
      <c r="R90" s="570"/>
      <c r="S90" s="570"/>
      <c r="T90" s="570"/>
    </row>
    <row r="91" spans="1:20" s="569" customFormat="1" ht="15" customHeight="1">
      <c r="A91" s="571"/>
      <c r="B91" s="111"/>
      <c r="C91" s="572"/>
      <c r="D91" s="573"/>
      <c r="E91" s="572"/>
      <c r="F91" s="1056"/>
      <c r="H91" s="570"/>
      <c r="I91" s="570"/>
      <c r="J91" s="570"/>
      <c r="K91" s="570"/>
      <c r="L91" s="570"/>
      <c r="M91" s="570"/>
      <c r="N91" s="570"/>
      <c r="O91" s="570"/>
      <c r="P91" s="570"/>
      <c r="Q91" s="570"/>
      <c r="R91" s="570"/>
      <c r="S91" s="570"/>
      <c r="T91" s="570"/>
    </row>
    <row r="92" spans="1:20" s="569" customFormat="1" ht="15" customHeight="1">
      <c r="A92" s="571"/>
      <c r="B92" s="111"/>
      <c r="C92" s="572"/>
      <c r="D92" s="573"/>
      <c r="E92" s="572"/>
      <c r="F92" s="1056"/>
      <c r="H92" s="570"/>
      <c r="I92" s="570"/>
      <c r="J92" s="570"/>
      <c r="K92" s="570"/>
      <c r="L92" s="570"/>
      <c r="M92" s="570"/>
      <c r="N92" s="570"/>
      <c r="O92" s="570"/>
      <c r="P92" s="570"/>
      <c r="Q92" s="570"/>
      <c r="R92" s="570"/>
      <c r="S92" s="570"/>
      <c r="T92" s="570"/>
    </row>
    <row r="93" spans="1:20" s="569" customFormat="1" ht="15" customHeight="1">
      <c r="A93" s="571"/>
      <c r="B93" s="111"/>
      <c r="C93" s="572"/>
      <c r="D93" s="573"/>
      <c r="E93" s="572"/>
      <c r="F93" s="1056"/>
      <c r="H93" s="570"/>
      <c r="I93" s="570"/>
      <c r="J93" s="570"/>
      <c r="K93" s="570"/>
      <c r="L93" s="570"/>
      <c r="M93" s="570"/>
      <c r="N93" s="570"/>
      <c r="O93" s="570"/>
      <c r="P93" s="570"/>
      <c r="Q93" s="570"/>
      <c r="R93" s="570"/>
      <c r="S93" s="570"/>
      <c r="T93" s="570"/>
    </row>
    <row r="94" spans="1:20" s="569" customFormat="1" ht="15" customHeight="1">
      <c r="A94" s="571"/>
      <c r="B94" s="111"/>
      <c r="C94" s="572"/>
      <c r="D94" s="573"/>
      <c r="E94" s="572"/>
      <c r="F94" s="1056"/>
      <c r="H94" s="570"/>
      <c r="I94" s="570"/>
      <c r="J94" s="570"/>
      <c r="K94" s="570"/>
      <c r="L94" s="570"/>
      <c r="M94" s="570"/>
      <c r="N94" s="570"/>
      <c r="O94" s="570"/>
      <c r="P94" s="570"/>
      <c r="Q94" s="570"/>
      <c r="R94" s="570"/>
      <c r="S94" s="570"/>
      <c r="T94" s="570"/>
    </row>
    <row r="95" spans="1:20" s="569" customFormat="1" ht="15" customHeight="1">
      <c r="A95" s="571"/>
      <c r="B95" s="111"/>
      <c r="C95" s="572"/>
      <c r="D95" s="573"/>
      <c r="E95" s="572"/>
      <c r="F95" s="1056"/>
      <c r="H95" s="570"/>
      <c r="I95" s="570"/>
      <c r="J95" s="570"/>
      <c r="K95" s="570"/>
      <c r="L95" s="570"/>
      <c r="M95" s="570"/>
      <c r="N95" s="570"/>
      <c r="O95" s="570"/>
      <c r="P95" s="570"/>
      <c r="Q95" s="570"/>
      <c r="R95" s="570"/>
      <c r="S95" s="570"/>
      <c r="T95" s="570"/>
    </row>
    <row r="96" spans="1:20" s="569" customFormat="1" ht="15" customHeight="1">
      <c r="A96" s="571"/>
      <c r="B96" s="111"/>
      <c r="C96" s="572"/>
      <c r="D96" s="573"/>
      <c r="E96" s="572"/>
      <c r="F96" s="1056"/>
      <c r="H96" s="570"/>
      <c r="I96" s="570"/>
      <c r="J96" s="570"/>
      <c r="K96" s="570"/>
      <c r="L96" s="570"/>
      <c r="M96" s="570"/>
      <c r="N96" s="570"/>
      <c r="O96" s="570"/>
      <c r="P96" s="570"/>
      <c r="Q96" s="570"/>
      <c r="R96" s="570"/>
      <c r="S96" s="570"/>
      <c r="T96" s="570"/>
    </row>
    <row r="97" spans="1:20" s="569" customFormat="1" ht="15" customHeight="1">
      <c r="A97" s="571"/>
      <c r="B97" s="111"/>
      <c r="C97" s="572"/>
      <c r="D97" s="573"/>
      <c r="E97" s="572"/>
      <c r="F97" s="1056"/>
      <c r="H97" s="570"/>
      <c r="I97" s="570"/>
      <c r="J97" s="570"/>
      <c r="K97" s="570"/>
      <c r="L97" s="570"/>
      <c r="M97" s="570"/>
      <c r="N97" s="570"/>
      <c r="O97" s="570"/>
      <c r="P97" s="570"/>
      <c r="Q97" s="570"/>
      <c r="R97" s="570"/>
      <c r="S97" s="570"/>
      <c r="T97" s="570"/>
    </row>
    <row r="98" spans="1:20" s="569" customFormat="1" ht="15" customHeight="1">
      <c r="A98" s="571"/>
      <c r="B98" s="111"/>
      <c r="C98" s="572"/>
      <c r="D98" s="573"/>
      <c r="E98" s="572"/>
      <c r="F98" s="1056"/>
      <c r="H98" s="570"/>
      <c r="I98" s="570"/>
      <c r="J98" s="570"/>
      <c r="K98" s="570"/>
      <c r="L98" s="570"/>
      <c r="M98" s="570"/>
      <c r="N98" s="570"/>
      <c r="O98" s="570"/>
      <c r="P98" s="570"/>
      <c r="Q98" s="570"/>
      <c r="R98" s="570"/>
      <c r="S98" s="570"/>
      <c r="T98" s="570"/>
    </row>
    <row r="99" spans="1:20" s="569" customFormat="1" ht="15" customHeight="1">
      <c r="A99" s="571"/>
      <c r="B99" s="111"/>
      <c r="C99" s="572"/>
      <c r="D99" s="573"/>
      <c r="E99" s="572"/>
      <c r="F99" s="1056"/>
      <c r="H99" s="570"/>
      <c r="I99" s="570"/>
      <c r="J99" s="570"/>
      <c r="K99" s="570"/>
      <c r="L99" s="570"/>
      <c r="M99" s="570"/>
      <c r="N99" s="570"/>
      <c r="O99" s="570"/>
      <c r="P99" s="570"/>
      <c r="Q99" s="570"/>
      <c r="R99" s="570"/>
      <c r="S99" s="570"/>
      <c r="T99" s="570"/>
    </row>
    <row r="100" spans="1:20" s="569" customFormat="1" ht="15" customHeight="1">
      <c r="A100" s="571"/>
      <c r="B100" s="111"/>
      <c r="C100" s="572"/>
      <c r="D100" s="573"/>
      <c r="E100" s="572"/>
      <c r="F100" s="1056"/>
      <c r="H100" s="570"/>
      <c r="I100" s="570"/>
      <c r="J100" s="570"/>
      <c r="K100" s="570"/>
      <c r="L100" s="570"/>
      <c r="M100" s="570"/>
      <c r="N100" s="570"/>
      <c r="O100" s="570"/>
      <c r="P100" s="570"/>
      <c r="Q100" s="570"/>
      <c r="R100" s="570"/>
      <c r="S100" s="570"/>
      <c r="T100" s="570"/>
    </row>
    <row r="101" spans="1:20" s="569" customFormat="1" ht="15" customHeight="1">
      <c r="A101" s="571"/>
      <c r="B101" s="111"/>
      <c r="C101" s="572"/>
      <c r="D101" s="573"/>
      <c r="E101" s="572"/>
      <c r="F101" s="1056"/>
      <c r="H101" s="570"/>
      <c r="I101" s="570"/>
      <c r="J101" s="570"/>
      <c r="K101" s="570"/>
      <c r="L101" s="570"/>
      <c r="M101" s="570"/>
      <c r="N101" s="570"/>
      <c r="O101" s="570"/>
      <c r="P101" s="570"/>
      <c r="Q101" s="570"/>
      <c r="R101" s="570"/>
      <c r="S101" s="570"/>
      <c r="T101" s="570"/>
    </row>
    <row r="102" spans="1:20" s="569" customFormat="1" ht="15" customHeight="1">
      <c r="A102" s="571"/>
      <c r="B102" s="111"/>
      <c r="C102" s="572"/>
      <c r="D102" s="573"/>
      <c r="E102" s="572"/>
      <c r="F102" s="1056"/>
      <c r="H102" s="570"/>
      <c r="I102" s="570"/>
      <c r="J102" s="570"/>
      <c r="K102" s="570"/>
      <c r="L102" s="570"/>
      <c r="M102" s="570"/>
      <c r="N102" s="570"/>
      <c r="O102" s="570"/>
      <c r="P102" s="570"/>
      <c r="Q102" s="570"/>
      <c r="R102" s="570"/>
      <c r="S102" s="570"/>
      <c r="T102" s="570"/>
    </row>
    <row r="103" spans="1:20" s="569" customFormat="1" ht="15" customHeight="1">
      <c r="A103" s="571"/>
      <c r="B103" s="111"/>
      <c r="C103" s="572"/>
      <c r="D103" s="573"/>
      <c r="E103" s="572"/>
      <c r="F103" s="1056"/>
      <c r="H103" s="570"/>
      <c r="I103" s="570"/>
      <c r="J103" s="570"/>
      <c r="K103" s="570"/>
      <c r="L103" s="570"/>
      <c r="M103" s="570"/>
      <c r="N103" s="570"/>
      <c r="O103" s="570"/>
      <c r="P103" s="570"/>
      <c r="Q103" s="570"/>
      <c r="R103" s="570"/>
      <c r="S103" s="570"/>
      <c r="T103" s="570"/>
    </row>
    <row r="104" spans="1:20" s="569" customFormat="1" ht="15" customHeight="1">
      <c r="A104" s="571"/>
      <c r="B104" s="111"/>
      <c r="C104" s="572"/>
      <c r="D104" s="573"/>
      <c r="E104" s="572"/>
      <c r="F104" s="1056"/>
      <c r="H104" s="570"/>
      <c r="I104" s="570"/>
      <c r="J104" s="570"/>
      <c r="K104" s="570"/>
      <c r="L104" s="570"/>
      <c r="M104" s="570"/>
      <c r="N104" s="570"/>
      <c r="O104" s="570"/>
      <c r="P104" s="570"/>
      <c r="Q104" s="570"/>
      <c r="R104" s="570"/>
      <c r="S104" s="570"/>
      <c r="T104" s="570"/>
    </row>
    <row r="105" spans="1:20" s="569" customFormat="1" ht="15" customHeight="1">
      <c r="A105" s="571"/>
      <c r="B105" s="111"/>
      <c r="C105" s="572"/>
      <c r="D105" s="573"/>
      <c r="E105" s="572"/>
      <c r="F105" s="1056"/>
      <c r="H105" s="570"/>
      <c r="I105" s="570"/>
      <c r="J105" s="570"/>
      <c r="K105" s="570"/>
      <c r="L105" s="570"/>
      <c r="M105" s="570"/>
      <c r="N105" s="570"/>
      <c r="O105" s="570"/>
      <c r="P105" s="570"/>
      <c r="Q105" s="570"/>
      <c r="R105" s="570"/>
      <c r="S105" s="570"/>
      <c r="T105" s="570"/>
    </row>
    <row r="106" spans="1:20" s="569" customFormat="1" ht="15" customHeight="1">
      <c r="A106" s="571"/>
      <c r="B106" s="111"/>
      <c r="C106" s="572"/>
      <c r="D106" s="573"/>
      <c r="E106" s="572"/>
      <c r="F106" s="1056"/>
      <c r="H106" s="570"/>
      <c r="I106" s="570"/>
      <c r="J106" s="570"/>
      <c r="K106" s="570"/>
      <c r="L106" s="570"/>
      <c r="M106" s="570"/>
      <c r="N106" s="570"/>
      <c r="O106" s="570"/>
      <c r="P106" s="570"/>
      <c r="Q106" s="570"/>
      <c r="R106" s="570"/>
      <c r="S106" s="570"/>
      <c r="T106" s="570"/>
    </row>
    <row r="107" spans="1:20" s="569" customFormat="1" ht="15" customHeight="1">
      <c r="A107" s="571"/>
      <c r="B107" s="111"/>
      <c r="C107" s="572"/>
      <c r="D107" s="573"/>
      <c r="E107" s="572"/>
      <c r="F107" s="1056"/>
      <c r="H107" s="570"/>
      <c r="I107" s="570"/>
      <c r="J107" s="570"/>
      <c r="K107" s="570"/>
      <c r="L107" s="570"/>
      <c r="M107" s="570"/>
      <c r="N107" s="570"/>
      <c r="O107" s="570"/>
      <c r="P107" s="570"/>
      <c r="Q107" s="570"/>
      <c r="R107" s="570"/>
      <c r="S107" s="570"/>
      <c r="T107" s="570"/>
    </row>
    <row r="108" spans="1:20" s="569" customFormat="1" ht="15" customHeight="1">
      <c r="A108" s="571"/>
      <c r="B108" s="111"/>
      <c r="C108" s="572"/>
      <c r="D108" s="573"/>
      <c r="E108" s="572"/>
      <c r="F108" s="1056"/>
      <c r="H108" s="570"/>
      <c r="I108" s="570"/>
      <c r="J108" s="570"/>
      <c r="K108" s="570"/>
      <c r="L108" s="570"/>
      <c r="M108" s="570"/>
      <c r="N108" s="570"/>
      <c r="O108" s="570"/>
      <c r="P108" s="570"/>
      <c r="Q108" s="570"/>
      <c r="R108" s="570"/>
      <c r="S108" s="570"/>
      <c r="T108" s="570"/>
    </row>
    <row r="109" spans="1:20" s="569" customFormat="1" ht="15" customHeight="1">
      <c r="A109" s="571"/>
      <c r="B109" s="111"/>
      <c r="C109" s="572"/>
      <c r="D109" s="573"/>
      <c r="E109" s="572"/>
      <c r="F109" s="1056"/>
      <c r="H109" s="570"/>
      <c r="I109" s="570"/>
      <c r="J109" s="570"/>
      <c r="K109" s="570"/>
      <c r="L109" s="570"/>
      <c r="M109" s="570"/>
      <c r="N109" s="570"/>
      <c r="O109" s="570"/>
      <c r="P109" s="570"/>
      <c r="Q109" s="570"/>
      <c r="R109" s="570"/>
      <c r="S109" s="570"/>
      <c r="T109" s="570"/>
    </row>
    <row r="110" spans="1:20" s="569" customFormat="1" ht="15" customHeight="1">
      <c r="A110" s="571"/>
      <c r="B110" s="111"/>
      <c r="C110" s="572"/>
      <c r="D110" s="573"/>
      <c r="E110" s="572"/>
      <c r="F110" s="1056"/>
      <c r="H110" s="570"/>
      <c r="I110" s="570"/>
      <c r="J110" s="570"/>
      <c r="K110" s="570"/>
      <c r="L110" s="570"/>
      <c r="M110" s="570"/>
      <c r="N110" s="570"/>
      <c r="O110" s="570"/>
      <c r="P110" s="570"/>
      <c r="Q110" s="570"/>
      <c r="R110" s="570"/>
      <c r="S110" s="570"/>
      <c r="T110" s="570"/>
    </row>
    <row r="111" spans="1:20" s="569" customFormat="1" ht="15" customHeight="1">
      <c r="A111" s="571"/>
      <c r="B111" s="111"/>
      <c r="C111" s="572"/>
      <c r="D111" s="573"/>
      <c r="E111" s="572"/>
      <c r="F111" s="1056"/>
      <c r="H111" s="570"/>
      <c r="I111" s="570"/>
      <c r="J111" s="570"/>
      <c r="K111" s="570"/>
      <c r="L111" s="570"/>
      <c r="M111" s="570"/>
      <c r="N111" s="570"/>
      <c r="O111" s="570"/>
      <c r="P111" s="570"/>
      <c r="Q111" s="570"/>
      <c r="R111" s="570"/>
      <c r="S111" s="570"/>
      <c r="T111" s="570"/>
    </row>
    <row r="112" spans="1:20" s="569" customFormat="1" ht="15" customHeight="1">
      <c r="A112" s="571"/>
      <c r="B112" s="111"/>
      <c r="C112" s="572"/>
      <c r="D112" s="573"/>
      <c r="E112" s="572"/>
      <c r="F112" s="1056"/>
      <c r="H112" s="570"/>
      <c r="I112" s="570"/>
      <c r="J112" s="570"/>
      <c r="K112" s="570"/>
      <c r="L112" s="570"/>
      <c r="M112" s="570"/>
      <c r="N112" s="570"/>
      <c r="O112" s="570"/>
      <c r="P112" s="570"/>
      <c r="Q112" s="570"/>
      <c r="R112" s="570"/>
      <c r="S112" s="570"/>
      <c r="T112" s="570"/>
    </row>
    <row r="113" spans="1:20" s="569" customFormat="1" ht="15" customHeight="1">
      <c r="A113" s="571"/>
      <c r="B113" s="111"/>
      <c r="C113" s="572"/>
      <c r="D113" s="573"/>
      <c r="E113" s="572"/>
      <c r="F113" s="1056"/>
      <c r="H113" s="570"/>
      <c r="I113" s="570"/>
      <c r="J113" s="570"/>
      <c r="K113" s="570"/>
      <c r="L113" s="570"/>
      <c r="M113" s="570"/>
      <c r="N113" s="570"/>
      <c r="O113" s="570"/>
      <c r="P113" s="570"/>
      <c r="Q113" s="570"/>
      <c r="R113" s="570"/>
      <c r="S113" s="570"/>
      <c r="T113" s="570"/>
    </row>
    <row r="114" spans="1:20" s="569" customFormat="1" ht="15" customHeight="1">
      <c r="A114" s="571"/>
      <c r="B114" s="111"/>
      <c r="C114" s="572"/>
      <c r="D114" s="573"/>
      <c r="E114" s="572"/>
      <c r="F114" s="1056"/>
      <c r="H114" s="570"/>
      <c r="I114" s="570"/>
      <c r="J114" s="570"/>
      <c r="K114" s="570"/>
      <c r="L114" s="570"/>
      <c r="M114" s="570"/>
      <c r="N114" s="570"/>
      <c r="O114" s="570"/>
      <c r="P114" s="570"/>
      <c r="Q114" s="570"/>
      <c r="R114" s="570"/>
      <c r="S114" s="570"/>
      <c r="T114" s="570"/>
    </row>
    <row r="115" spans="1:20" s="569" customFormat="1" ht="15" customHeight="1">
      <c r="A115" s="571"/>
      <c r="B115" s="111"/>
      <c r="C115" s="572"/>
      <c r="D115" s="573"/>
      <c r="E115" s="572"/>
      <c r="F115" s="1056"/>
      <c r="H115" s="570"/>
      <c r="I115" s="570"/>
      <c r="J115" s="570"/>
      <c r="K115" s="570"/>
      <c r="L115" s="570"/>
      <c r="M115" s="570"/>
      <c r="N115" s="570"/>
      <c r="O115" s="570"/>
      <c r="P115" s="570"/>
      <c r="Q115" s="570"/>
      <c r="R115" s="570"/>
      <c r="S115" s="570"/>
      <c r="T115" s="570"/>
    </row>
    <row r="116" spans="1:20" s="569" customFormat="1" ht="15" customHeight="1">
      <c r="A116" s="571"/>
      <c r="B116" s="111"/>
      <c r="C116" s="572"/>
      <c r="D116" s="573"/>
      <c r="E116" s="572"/>
      <c r="F116" s="1056"/>
      <c r="H116" s="570"/>
      <c r="I116" s="570"/>
      <c r="J116" s="570"/>
      <c r="K116" s="570"/>
      <c r="L116" s="570"/>
      <c r="M116" s="570"/>
      <c r="N116" s="570"/>
      <c r="O116" s="570"/>
      <c r="P116" s="570"/>
      <c r="Q116" s="570"/>
      <c r="R116" s="570"/>
      <c r="S116" s="570"/>
      <c r="T116" s="570"/>
    </row>
    <row r="117" spans="1:20" s="569" customFormat="1" ht="15" customHeight="1">
      <c r="A117" s="571"/>
      <c r="B117" s="111"/>
      <c r="C117" s="572"/>
      <c r="D117" s="573"/>
      <c r="E117" s="572"/>
      <c r="F117" s="1056"/>
      <c r="H117" s="570"/>
      <c r="I117" s="570"/>
      <c r="J117" s="570"/>
      <c r="K117" s="570"/>
      <c r="L117" s="570"/>
      <c r="M117" s="570"/>
      <c r="N117" s="570"/>
      <c r="O117" s="570"/>
      <c r="P117" s="570"/>
      <c r="Q117" s="570"/>
      <c r="R117" s="570"/>
      <c r="S117" s="570"/>
      <c r="T117" s="570"/>
    </row>
    <row r="118" spans="1:20" s="569" customFormat="1" ht="15" customHeight="1">
      <c r="A118" s="571"/>
      <c r="B118" s="111"/>
      <c r="C118" s="572"/>
      <c r="D118" s="573"/>
      <c r="E118" s="572"/>
      <c r="F118" s="1056"/>
      <c r="H118" s="570"/>
      <c r="I118" s="570"/>
      <c r="J118" s="570"/>
      <c r="K118" s="570"/>
      <c r="L118" s="570"/>
      <c r="M118" s="570"/>
      <c r="N118" s="570"/>
      <c r="O118" s="570"/>
      <c r="P118" s="570"/>
      <c r="Q118" s="570"/>
      <c r="R118" s="570"/>
      <c r="S118" s="570"/>
      <c r="T118" s="570"/>
    </row>
    <row r="119" spans="1:20" s="569" customFormat="1" ht="15" customHeight="1">
      <c r="A119" s="571"/>
      <c r="B119" s="111"/>
      <c r="C119" s="572"/>
      <c r="D119" s="573"/>
      <c r="E119" s="572"/>
      <c r="F119" s="1056"/>
      <c r="H119" s="570"/>
      <c r="I119" s="570"/>
      <c r="J119" s="570"/>
      <c r="K119" s="570"/>
      <c r="L119" s="570"/>
      <c r="M119" s="570"/>
      <c r="N119" s="570"/>
      <c r="O119" s="570"/>
      <c r="P119" s="570"/>
      <c r="Q119" s="570"/>
      <c r="R119" s="570"/>
      <c r="S119" s="570"/>
      <c r="T119" s="570"/>
    </row>
    <row r="120" spans="1:20" s="569" customFormat="1" ht="15" customHeight="1">
      <c r="A120" s="571"/>
      <c r="B120" s="111"/>
      <c r="C120" s="572"/>
      <c r="D120" s="573"/>
      <c r="E120" s="572"/>
      <c r="F120" s="1056"/>
      <c r="H120" s="570"/>
      <c r="I120" s="570"/>
      <c r="J120" s="570"/>
      <c r="K120" s="570"/>
      <c r="L120" s="570"/>
      <c r="M120" s="570"/>
      <c r="N120" s="570"/>
      <c r="O120" s="570"/>
      <c r="P120" s="570"/>
      <c r="Q120" s="570"/>
      <c r="R120" s="570"/>
      <c r="S120" s="570"/>
      <c r="T120" s="570"/>
    </row>
    <row r="121" spans="1:20" s="569" customFormat="1" ht="15" customHeight="1">
      <c r="A121" s="571"/>
      <c r="B121" s="111"/>
      <c r="C121" s="572"/>
      <c r="D121" s="573"/>
      <c r="E121" s="572"/>
      <c r="F121" s="1056"/>
      <c r="H121" s="570"/>
      <c r="I121" s="570"/>
      <c r="J121" s="570"/>
      <c r="K121" s="570"/>
      <c r="L121" s="570"/>
      <c r="M121" s="570"/>
      <c r="N121" s="570"/>
      <c r="O121" s="570"/>
      <c r="P121" s="570"/>
      <c r="Q121" s="570"/>
      <c r="R121" s="570"/>
      <c r="S121" s="570"/>
      <c r="T121" s="570"/>
    </row>
    <row r="122" spans="1:20" s="569" customFormat="1" ht="15" customHeight="1">
      <c r="A122" s="571"/>
      <c r="B122" s="111"/>
      <c r="C122" s="572"/>
      <c r="D122" s="573"/>
      <c r="E122" s="572"/>
      <c r="F122" s="1056"/>
      <c r="H122" s="570"/>
      <c r="I122" s="570"/>
      <c r="J122" s="570"/>
      <c r="K122" s="570"/>
      <c r="L122" s="570"/>
      <c r="M122" s="570"/>
      <c r="N122" s="570"/>
      <c r="O122" s="570"/>
      <c r="P122" s="570"/>
      <c r="Q122" s="570"/>
      <c r="R122" s="570"/>
      <c r="S122" s="570"/>
      <c r="T122" s="570"/>
    </row>
    <row r="123" spans="1:20" s="569" customFormat="1" ht="15" customHeight="1">
      <c r="A123" s="571"/>
      <c r="B123" s="111"/>
      <c r="C123" s="572"/>
      <c r="D123" s="573"/>
      <c r="E123" s="572"/>
      <c r="F123" s="1056"/>
      <c r="H123" s="570"/>
      <c r="I123" s="570"/>
      <c r="J123" s="570"/>
      <c r="K123" s="570"/>
      <c r="L123" s="570"/>
      <c r="M123" s="570"/>
      <c r="N123" s="570"/>
      <c r="O123" s="570"/>
      <c r="P123" s="570"/>
      <c r="Q123" s="570"/>
      <c r="R123" s="570"/>
      <c r="S123" s="570"/>
      <c r="T123" s="570"/>
    </row>
    <row r="124" spans="1:20" s="569" customFormat="1" ht="15" customHeight="1">
      <c r="A124" s="571"/>
      <c r="B124" s="111"/>
      <c r="C124" s="572"/>
      <c r="D124" s="573"/>
      <c r="E124" s="572"/>
      <c r="F124" s="1056"/>
      <c r="H124" s="570"/>
      <c r="I124" s="570"/>
      <c r="J124" s="570"/>
      <c r="K124" s="570"/>
      <c r="L124" s="570"/>
      <c r="M124" s="570"/>
      <c r="N124" s="570"/>
      <c r="O124" s="570"/>
      <c r="P124" s="570"/>
      <c r="Q124" s="570"/>
      <c r="R124" s="570"/>
      <c r="S124" s="570"/>
      <c r="T124" s="570"/>
    </row>
    <row r="125" spans="1:20" s="569" customFormat="1" ht="15" customHeight="1">
      <c r="A125" s="571"/>
      <c r="B125" s="111"/>
      <c r="C125" s="572"/>
      <c r="D125" s="573"/>
      <c r="E125" s="572"/>
      <c r="F125" s="1056"/>
      <c r="H125" s="570"/>
      <c r="I125" s="570"/>
      <c r="J125" s="570"/>
      <c r="K125" s="570"/>
      <c r="L125" s="570"/>
      <c r="M125" s="570"/>
      <c r="N125" s="570"/>
      <c r="O125" s="570"/>
      <c r="P125" s="570"/>
      <c r="Q125" s="570"/>
      <c r="R125" s="570"/>
      <c r="S125" s="570"/>
      <c r="T125" s="570"/>
    </row>
    <row r="126" spans="1:20" s="569" customFormat="1" ht="15" customHeight="1">
      <c r="A126" s="571"/>
      <c r="B126" s="111"/>
      <c r="C126" s="572"/>
      <c r="D126" s="573"/>
      <c r="E126" s="572"/>
      <c r="F126" s="1056"/>
      <c r="H126" s="570"/>
      <c r="I126" s="570"/>
      <c r="J126" s="570"/>
      <c r="K126" s="570"/>
      <c r="L126" s="570"/>
      <c r="M126" s="570"/>
      <c r="N126" s="570"/>
      <c r="O126" s="570"/>
      <c r="P126" s="570"/>
      <c r="Q126" s="570"/>
      <c r="R126" s="570"/>
      <c r="S126" s="570"/>
      <c r="T126" s="570"/>
    </row>
    <row r="127" spans="1:20" s="569" customFormat="1" ht="15" customHeight="1">
      <c r="A127" s="571"/>
      <c r="B127" s="111"/>
      <c r="C127" s="572"/>
      <c r="D127" s="573"/>
      <c r="E127" s="572"/>
      <c r="F127" s="1056"/>
      <c r="H127" s="570"/>
      <c r="I127" s="570"/>
      <c r="J127" s="570"/>
      <c r="K127" s="570"/>
      <c r="L127" s="570"/>
      <c r="M127" s="570"/>
      <c r="N127" s="570"/>
      <c r="O127" s="570"/>
      <c r="P127" s="570"/>
      <c r="Q127" s="570"/>
      <c r="R127" s="570"/>
      <c r="S127" s="570"/>
      <c r="T127" s="570"/>
    </row>
    <row r="128" spans="1:20" s="569" customFormat="1" ht="15" customHeight="1">
      <c r="A128" s="571"/>
      <c r="B128" s="111"/>
      <c r="C128" s="572"/>
      <c r="D128" s="573"/>
      <c r="E128" s="572"/>
      <c r="F128" s="1056"/>
      <c r="H128" s="570"/>
      <c r="I128" s="570"/>
      <c r="J128" s="570"/>
      <c r="K128" s="570"/>
      <c r="L128" s="570"/>
      <c r="M128" s="570"/>
      <c r="N128" s="570"/>
      <c r="O128" s="570"/>
      <c r="P128" s="570"/>
      <c r="Q128" s="570"/>
      <c r="R128" s="570"/>
      <c r="S128" s="570"/>
      <c r="T128" s="570"/>
    </row>
    <row r="129" spans="1:20" s="569" customFormat="1" ht="15" customHeight="1">
      <c r="A129" s="571"/>
      <c r="B129" s="111"/>
      <c r="C129" s="572"/>
      <c r="D129" s="573"/>
      <c r="E129" s="572"/>
      <c r="F129" s="1056"/>
      <c r="H129" s="570"/>
      <c r="I129" s="570"/>
      <c r="J129" s="570"/>
      <c r="K129" s="570"/>
      <c r="L129" s="570"/>
      <c r="M129" s="570"/>
      <c r="N129" s="570"/>
      <c r="O129" s="570"/>
      <c r="P129" s="570"/>
      <c r="Q129" s="570"/>
      <c r="R129" s="570"/>
      <c r="S129" s="570"/>
      <c r="T129" s="570"/>
    </row>
    <row r="130" spans="1:20" s="569" customFormat="1" ht="15" customHeight="1">
      <c r="A130" s="571"/>
      <c r="B130" s="111"/>
      <c r="C130" s="572"/>
      <c r="D130" s="573"/>
      <c r="E130" s="572"/>
      <c r="F130" s="1056"/>
      <c r="H130" s="570"/>
      <c r="I130" s="570"/>
      <c r="J130" s="570"/>
      <c r="K130" s="570"/>
      <c r="L130" s="570"/>
      <c r="M130" s="570"/>
      <c r="N130" s="570"/>
      <c r="O130" s="570"/>
      <c r="P130" s="570"/>
      <c r="Q130" s="570"/>
      <c r="R130" s="570"/>
      <c r="S130" s="570"/>
      <c r="T130" s="570"/>
    </row>
    <row r="131" spans="1:20" s="569" customFormat="1" ht="15" customHeight="1">
      <c r="A131" s="571"/>
      <c r="B131" s="111"/>
      <c r="C131" s="572"/>
      <c r="D131" s="573"/>
      <c r="E131" s="572"/>
      <c r="F131" s="1056"/>
      <c r="H131" s="570"/>
      <c r="I131" s="570"/>
      <c r="J131" s="570"/>
      <c r="K131" s="570"/>
      <c r="L131" s="570"/>
      <c r="M131" s="570"/>
      <c r="N131" s="570"/>
      <c r="O131" s="570"/>
      <c r="P131" s="570"/>
      <c r="Q131" s="570"/>
      <c r="R131" s="570"/>
      <c r="S131" s="570"/>
      <c r="T131" s="570"/>
    </row>
    <row r="132" spans="1:20" s="569" customFormat="1" ht="15" customHeight="1">
      <c r="A132" s="571"/>
      <c r="B132" s="111"/>
      <c r="C132" s="572"/>
      <c r="D132" s="573"/>
      <c r="E132" s="572"/>
      <c r="F132" s="1056"/>
      <c r="H132" s="570"/>
      <c r="I132" s="570"/>
      <c r="J132" s="570"/>
      <c r="K132" s="570"/>
      <c r="L132" s="570"/>
      <c r="M132" s="570"/>
      <c r="N132" s="570"/>
      <c r="O132" s="570"/>
      <c r="P132" s="570"/>
      <c r="Q132" s="570"/>
      <c r="R132" s="570"/>
      <c r="S132" s="570"/>
      <c r="T132" s="570"/>
    </row>
    <row r="133" spans="1:20" s="569" customFormat="1" ht="15" customHeight="1">
      <c r="A133" s="571"/>
      <c r="B133" s="111"/>
      <c r="C133" s="572"/>
      <c r="D133" s="573"/>
      <c r="E133" s="572"/>
      <c r="F133" s="1056"/>
      <c r="H133" s="570"/>
      <c r="I133" s="570"/>
      <c r="J133" s="570"/>
      <c r="K133" s="570"/>
      <c r="L133" s="570"/>
      <c r="M133" s="570"/>
      <c r="N133" s="570"/>
      <c r="O133" s="570"/>
      <c r="P133" s="570"/>
      <c r="Q133" s="570"/>
      <c r="R133" s="570"/>
      <c r="S133" s="570"/>
      <c r="T133" s="570"/>
    </row>
    <row r="134" spans="1:20" s="569" customFormat="1" ht="15" customHeight="1">
      <c r="A134" s="571"/>
      <c r="B134" s="111"/>
      <c r="C134" s="572"/>
      <c r="D134" s="573"/>
      <c r="E134" s="572"/>
      <c r="F134" s="1056"/>
      <c r="H134" s="570"/>
      <c r="I134" s="570"/>
      <c r="J134" s="570"/>
      <c r="K134" s="570"/>
      <c r="L134" s="570"/>
      <c r="M134" s="570"/>
      <c r="N134" s="570"/>
      <c r="O134" s="570"/>
      <c r="P134" s="570"/>
      <c r="Q134" s="570"/>
      <c r="R134" s="570"/>
      <c r="S134" s="570"/>
      <c r="T134" s="570"/>
    </row>
    <row r="135" spans="1:20" s="569" customFormat="1" ht="15" customHeight="1">
      <c r="A135" s="571"/>
      <c r="B135" s="111"/>
      <c r="C135" s="572"/>
      <c r="D135" s="573"/>
      <c r="E135" s="572"/>
      <c r="F135" s="1056"/>
      <c r="H135" s="570"/>
      <c r="I135" s="570"/>
      <c r="J135" s="570"/>
      <c r="K135" s="570"/>
      <c r="L135" s="570"/>
      <c r="M135" s="570"/>
      <c r="N135" s="570"/>
      <c r="O135" s="570"/>
      <c r="P135" s="570"/>
      <c r="Q135" s="570"/>
      <c r="R135" s="570"/>
      <c r="S135" s="570"/>
      <c r="T135" s="570"/>
    </row>
    <row r="136" spans="1:20" s="569" customFormat="1" ht="15" customHeight="1">
      <c r="A136" s="571"/>
      <c r="B136" s="111"/>
      <c r="C136" s="572"/>
      <c r="D136" s="573"/>
      <c r="E136" s="572"/>
      <c r="F136" s="1056"/>
      <c r="H136" s="570"/>
      <c r="I136" s="570"/>
      <c r="J136" s="570"/>
      <c r="K136" s="570"/>
      <c r="L136" s="570"/>
      <c r="M136" s="570"/>
      <c r="N136" s="570"/>
      <c r="O136" s="570"/>
      <c r="P136" s="570"/>
      <c r="Q136" s="570"/>
      <c r="R136" s="570"/>
      <c r="S136" s="570"/>
      <c r="T136" s="570"/>
    </row>
    <row r="137" spans="1:20" s="569" customFormat="1" ht="15" customHeight="1">
      <c r="A137" s="571"/>
      <c r="B137" s="111"/>
      <c r="C137" s="572"/>
      <c r="D137" s="573"/>
      <c r="E137" s="572"/>
      <c r="F137" s="1056"/>
      <c r="H137" s="570"/>
      <c r="I137" s="570"/>
      <c r="J137" s="570"/>
      <c r="K137" s="570"/>
      <c r="L137" s="570"/>
      <c r="M137" s="570"/>
      <c r="N137" s="570"/>
      <c r="O137" s="570"/>
      <c r="P137" s="570"/>
      <c r="Q137" s="570"/>
      <c r="R137" s="570"/>
      <c r="S137" s="570"/>
      <c r="T137" s="570"/>
    </row>
    <row r="138" spans="1:20" s="569" customFormat="1" ht="15" customHeight="1">
      <c r="A138" s="571"/>
      <c r="B138" s="111"/>
      <c r="C138" s="572"/>
      <c r="D138" s="573"/>
      <c r="E138" s="572"/>
      <c r="F138" s="1056"/>
      <c r="H138" s="570"/>
      <c r="I138" s="570"/>
      <c r="J138" s="570"/>
      <c r="K138" s="570"/>
      <c r="L138" s="570"/>
      <c r="M138" s="570"/>
      <c r="N138" s="570"/>
      <c r="O138" s="570"/>
      <c r="P138" s="570"/>
      <c r="Q138" s="570"/>
      <c r="R138" s="570"/>
      <c r="S138" s="570"/>
      <c r="T138" s="570"/>
    </row>
    <row r="139" spans="1:20" s="569" customFormat="1" ht="15" customHeight="1">
      <c r="A139" s="571"/>
      <c r="B139" s="111"/>
      <c r="C139" s="572"/>
      <c r="D139" s="573"/>
      <c r="E139" s="572"/>
      <c r="F139" s="1056"/>
      <c r="H139" s="570"/>
      <c r="I139" s="570"/>
      <c r="J139" s="570"/>
      <c r="K139" s="570"/>
      <c r="L139" s="570"/>
      <c r="M139" s="570"/>
      <c r="N139" s="570"/>
      <c r="O139" s="570"/>
      <c r="P139" s="570"/>
      <c r="Q139" s="570"/>
      <c r="R139" s="570"/>
      <c r="S139" s="570"/>
      <c r="T139" s="570"/>
    </row>
    <row r="140" spans="1:20" s="569" customFormat="1" ht="15" customHeight="1">
      <c r="A140" s="571"/>
      <c r="B140" s="111"/>
      <c r="C140" s="572"/>
      <c r="D140" s="573"/>
      <c r="E140" s="572"/>
      <c r="F140" s="1056"/>
      <c r="H140" s="570"/>
      <c r="I140" s="570"/>
      <c r="J140" s="570"/>
      <c r="K140" s="570"/>
      <c r="L140" s="570"/>
      <c r="M140" s="570"/>
      <c r="N140" s="570"/>
      <c r="O140" s="570"/>
      <c r="P140" s="570"/>
      <c r="Q140" s="570"/>
      <c r="R140" s="570"/>
      <c r="S140" s="570"/>
      <c r="T140" s="570"/>
    </row>
    <row r="141" spans="1:20" s="569" customFormat="1" ht="15" customHeight="1">
      <c r="A141" s="571"/>
      <c r="B141" s="111"/>
      <c r="C141" s="572"/>
      <c r="D141" s="573"/>
      <c r="E141" s="572"/>
      <c r="F141" s="1056"/>
      <c r="H141" s="570"/>
      <c r="I141" s="570"/>
      <c r="J141" s="570"/>
      <c r="K141" s="570"/>
      <c r="L141" s="570"/>
      <c r="M141" s="570"/>
      <c r="N141" s="570"/>
      <c r="O141" s="570"/>
      <c r="P141" s="570"/>
      <c r="Q141" s="570"/>
      <c r="R141" s="570"/>
      <c r="S141" s="570"/>
      <c r="T141" s="570"/>
    </row>
    <row r="142" spans="1:20" s="569" customFormat="1" ht="15" customHeight="1">
      <c r="A142" s="571"/>
      <c r="B142" s="111"/>
      <c r="C142" s="572"/>
      <c r="D142" s="573"/>
      <c r="E142" s="572"/>
      <c r="F142" s="1056"/>
      <c r="H142" s="570"/>
      <c r="I142" s="570"/>
      <c r="J142" s="570"/>
      <c r="K142" s="570"/>
      <c r="L142" s="570"/>
      <c r="M142" s="570"/>
      <c r="N142" s="570"/>
      <c r="O142" s="570"/>
      <c r="P142" s="570"/>
      <c r="Q142" s="570"/>
      <c r="R142" s="570"/>
      <c r="S142" s="570"/>
      <c r="T142" s="570"/>
    </row>
    <row r="143" spans="1:20" s="569" customFormat="1" ht="15" customHeight="1">
      <c r="A143" s="571"/>
      <c r="B143" s="111"/>
      <c r="C143" s="572"/>
      <c r="D143" s="573"/>
      <c r="E143" s="572"/>
      <c r="F143" s="1056"/>
      <c r="H143" s="570"/>
      <c r="I143" s="570"/>
      <c r="J143" s="570"/>
      <c r="K143" s="570"/>
      <c r="L143" s="570"/>
      <c r="M143" s="570"/>
      <c r="N143" s="570"/>
      <c r="O143" s="570"/>
      <c r="P143" s="570"/>
      <c r="Q143" s="570"/>
      <c r="R143" s="570"/>
      <c r="S143" s="570"/>
      <c r="T143" s="570"/>
    </row>
    <row r="144" spans="1:20" s="569" customFormat="1" ht="15" customHeight="1">
      <c r="A144" s="571"/>
      <c r="B144" s="111"/>
      <c r="C144" s="572"/>
      <c r="D144" s="573"/>
      <c r="E144" s="572"/>
      <c r="F144" s="1056"/>
      <c r="H144" s="570"/>
      <c r="I144" s="570"/>
      <c r="J144" s="570"/>
      <c r="K144" s="570"/>
      <c r="L144" s="570"/>
      <c r="M144" s="570"/>
      <c r="N144" s="570"/>
      <c r="O144" s="570"/>
      <c r="P144" s="570"/>
      <c r="Q144" s="570"/>
      <c r="R144" s="570"/>
      <c r="S144" s="570"/>
      <c r="T144" s="570"/>
    </row>
    <row r="145" spans="1:20" s="569" customFormat="1" ht="15" customHeight="1">
      <c r="A145" s="571"/>
      <c r="B145" s="111"/>
      <c r="C145" s="572"/>
      <c r="D145" s="573"/>
      <c r="E145" s="572"/>
      <c r="F145" s="1056"/>
      <c r="H145" s="570"/>
      <c r="I145" s="570"/>
      <c r="J145" s="570"/>
      <c r="K145" s="570"/>
      <c r="L145" s="570"/>
      <c r="M145" s="570"/>
      <c r="N145" s="570"/>
      <c r="O145" s="570"/>
      <c r="P145" s="570"/>
      <c r="Q145" s="570"/>
      <c r="R145" s="570"/>
      <c r="S145" s="570"/>
      <c r="T145" s="570"/>
    </row>
    <row r="146" spans="1:20" s="569" customFormat="1" ht="15" customHeight="1">
      <c r="A146" s="571"/>
      <c r="B146" s="111"/>
      <c r="C146" s="572"/>
      <c r="D146" s="573"/>
      <c r="E146" s="572"/>
      <c r="F146" s="1056"/>
      <c r="H146" s="570"/>
      <c r="I146" s="570"/>
      <c r="J146" s="570"/>
      <c r="K146" s="570"/>
      <c r="L146" s="570"/>
      <c r="M146" s="570"/>
      <c r="N146" s="570"/>
      <c r="O146" s="570"/>
      <c r="P146" s="570"/>
      <c r="Q146" s="570"/>
      <c r="R146" s="570"/>
      <c r="S146" s="570"/>
      <c r="T146" s="570"/>
    </row>
    <row r="147" spans="1:20" s="569" customFormat="1" ht="15" customHeight="1">
      <c r="A147" s="571"/>
      <c r="B147" s="111"/>
      <c r="C147" s="572"/>
      <c r="D147" s="573"/>
      <c r="E147" s="572"/>
      <c r="F147" s="1056"/>
      <c r="H147" s="570"/>
      <c r="I147" s="570"/>
      <c r="J147" s="570"/>
      <c r="K147" s="570"/>
      <c r="L147" s="570"/>
      <c r="M147" s="570"/>
      <c r="N147" s="570"/>
      <c r="O147" s="570"/>
      <c r="P147" s="570"/>
      <c r="Q147" s="570"/>
      <c r="R147" s="570"/>
      <c r="S147" s="570"/>
      <c r="T147" s="570"/>
    </row>
    <row r="148" spans="1:20" s="569" customFormat="1" ht="15" customHeight="1">
      <c r="A148" s="571"/>
      <c r="B148" s="111"/>
      <c r="C148" s="572"/>
      <c r="D148" s="573"/>
      <c r="E148" s="572"/>
      <c r="F148" s="1056"/>
      <c r="H148" s="570"/>
      <c r="I148" s="570"/>
      <c r="J148" s="570"/>
      <c r="K148" s="570"/>
      <c r="L148" s="570"/>
      <c r="M148" s="570"/>
      <c r="N148" s="570"/>
      <c r="O148" s="570"/>
      <c r="P148" s="570"/>
      <c r="Q148" s="570"/>
      <c r="R148" s="570"/>
      <c r="S148" s="570"/>
      <c r="T148" s="570"/>
    </row>
    <row r="149" spans="1:20" s="569" customFormat="1" ht="15" customHeight="1">
      <c r="A149" s="571"/>
      <c r="B149" s="111"/>
      <c r="C149" s="572"/>
      <c r="D149" s="573"/>
      <c r="E149" s="572"/>
      <c r="F149" s="1056"/>
      <c r="H149" s="570"/>
      <c r="I149" s="570"/>
      <c r="J149" s="570"/>
      <c r="K149" s="570"/>
      <c r="L149" s="570"/>
      <c r="M149" s="570"/>
      <c r="N149" s="570"/>
      <c r="O149" s="570"/>
      <c r="P149" s="570"/>
      <c r="Q149" s="570"/>
      <c r="R149" s="570"/>
      <c r="S149" s="570"/>
      <c r="T149" s="570"/>
    </row>
    <row r="150" spans="1:20" s="569" customFormat="1" ht="15" customHeight="1">
      <c r="A150" s="571"/>
      <c r="B150" s="111"/>
      <c r="C150" s="572"/>
      <c r="D150" s="573"/>
      <c r="E150" s="572"/>
      <c r="F150" s="1056"/>
      <c r="H150" s="570"/>
      <c r="I150" s="570"/>
      <c r="J150" s="570"/>
      <c r="K150" s="570"/>
      <c r="L150" s="570"/>
      <c r="M150" s="570"/>
      <c r="N150" s="570"/>
      <c r="O150" s="570"/>
      <c r="P150" s="570"/>
      <c r="Q150" s="570"/>
      <c r="R150" s="570"/>
      <c r="S150" s="570"/>
      <c r="T150" s="570"/>
    </row>
    <row r="151" spans="1:20" s="569" customFormat="1" ht="15" customHeight="1">
      <c r="A151" s="571"/>
      <c r="B151" s="111"/>
      <c r="C151" s="572"/>
      <c r="D151" s="573"/>
      <c r="E151" s="572"/>
      <c r="F151" s="1056"/>
      <c r="H151" s="570"/>
      <c r="I151" s="570"/>
      <c r="J151" s="570"/>
      <c r="K151" s="570"/>
      <c r="L151" s="570"/>
      <c r="M151" s="570"/>
      <c r="N151" s="570"/>
      <c r="O151" s="570"/>
      <c r="P151" s="570"/>
      <c r="Q151" s="570"/>
      <c r="R151" s="570"/>
      <c r="S151" s="570"/>
      <c r="T151" s="570"/>
    </row>
    <row r="152" spans="1:20" s="569" customFormat="1" ht="15" customHeight="1">
      <c r="A152" s="571"/>
      <c r="B152" s="111"/>
      <c r="C152" s="572"/>
      <c r="D152" s="573"/>
      <c r="E152" s="572"/>
      <c r="F152" s="1056"/>
      <c r="H152" s="570"/>
      <c r="I152" s="570"/>
      <c r="J152" s="570"/>
      <c r="K152" s="570"/>
      <c r="L152" s="570"/>
      <c r="M152" s="570"/>
      <c r="N152" s="570"/>
      <c r="O152" s="570"/>
      <c r="P152" s="570"/>
      <c r="Q152" s="570"/>
      <c r="R152" s="570"/>
      <c r="S152" s="570"/>
      <c r="T152" s="570"/>
    </row>
    <row r="153" spans="1:20" s="569" customFormat="1" ht="15" customHeight="1">
      <c r="A153" s="571"/>
      <c r="B153" s="111"/>
      <c r="C153" s="572"/>
      <c r="D153" s="573"/>
      <c r="E153" s="572"/>
      <c r="F153" s="1056"/>
      <c r="H153" s="570"/>
      <c r="I153" s="570"/>
      <c r="J153" s="570"/>
      <c r="K153" s="570"/>
      <c r="L153" s="570"/>
      <c r="M153" s="570"/>
      <c r="N153" s="570"/>
      <c r="O153" s="570"/>
      <c r="P153" s="570"/>
      <c r="Q153" s="570"/>
      <c r="R153" s="570"/>
      <c r="S153" s="570"/>
      <c r="T153" s="570"/>
    </row>
    <row r="154" spans="1:20" s="569" customFormat="1" ht="15" customHeight="1">
      <c r="A154" s="571"/>
      <c r="B154" s="111"/>
      <c r="C154" s="572"/>
      <c r="D154" s="573"/>
      <c r="E154" s="572"/>
      <c r="F154" s="1056"/>
      <c r="H154" s="570"/>
      <c r="I154" s="570"/>
      <c r="J154" s="570"/>
      <c r="K154" s="570"/>
      <c r="L154" s="570"/>
      <c r="M154" s="570"/>
      <c r="N154" s="570"/>
      <c r="O154" s="570"/>
      <c r="P154" s="570"/>
      <c r="Q154" s="570"/>
      <c r="R154" s="570"/>
      <c r="S154" s="570"/>
      <c r="T154" s="570"/>
    </row>
    <row r="155" spans="1:20" s="569" customFormat="1" ht="15" customHeight="1">
      <c r="A155" s="571"/>
      <c r="B155" s="111"/>
      <c r="C155" s="572"/>
      <c r="D155" s="573"/>
      <c r="E155" s="572"/>
      <c r="F155" s="1056"/>
      <c r="H155" s="570"/>
      <c r="I155" s="570"/>
      <c r="J155" s="570"/>
      <c r="K155" s="570"/>
      <c r="L155" s="570"/>
      <c r="M155" s="570"/>
      <c r="N155" s="570"/>
      <c r="O155" s="570"/>
      <c r="P155" s="570"/>
      <c r="Q155" s="570"/>
      <c r="R155" s="570"/>
      <c r="S155" s="570"/>
      <c r="T155" s="570"/>
    </row>
    <row r="156" spans="1:20" s="569" customFormat="1" ht="15" customHeight="1">
      <c r="A156" s="571"/>
      <c r="B156" s="111"/>
      <c r="C156" s="572"/>
      <c r="D156" s="573"/>
      <c r="E156" s="572"/>
      <c r="F156" s="1056"/>
      <c r="H156" s="570"/>
      <c r="I156" s="570"/>
      <c r="J156" s="570"/>
      <c r="K156" s="570"/>
      <c r="L156" s="570"/>
      <c r="M156" s="570"/>
      <c r="N156" s="570"/>
      <c r="O156" s="570"/>
      <c r="P156" s="570"/>
      <c r="Q156" s="570"/>
      <c r="R156" s="570"/>
      <c r="S156" s="570"/>
      <c r="T156" s="570"/>
    </row>
    <row r="157" spans="1:20" s="569" customFormat="1" ht="15" customHeight="1">
      <c r="A157" s="571"/>
      <c r="B157" s="111"/>
      <c r="C157" s="572"/>
      <c r="D157" s="573"/>
      <c r="E157" s="572"/>
      <c r="F157" s="1056"/>
      <c r="H157" s="570"/>
      <c r="I157" s="570"/>
      <c r="J157" s="570"/>
      <c r="K157" s="570"/>
      <c r="L157" s="570"/>
      <c r="M157" s="570"/>
      <c r="N157" s="570"/>
      <c r="O157" s="570"/>
      <c r="P157" s="570"/>
      <c r="Q157" s="570"/>
      <c r="R157" s="570"/>
      <c r="S157" s="570"/>
      <c r="T157" s="570"/>
    </row>
    <row r="158" spans="1:20" s="569" customFormat="1" ht="15" customHeight="1">
      <c r="A158" s="571"/>
      <c r="B158" s="111"/>
      <c r="C158" s="572"/>
      <c r="D158" s="573"/>
      <c r="E158" s="572"/>
      <c r="F158" s="1056"/>
      <c r="H158" s="570"/>
      <c r="I158" s="570"/>
      <c r="J158" s="570"/>
      <c r="K158" s="570"/>
      <c r="L158" s="570"/>
      <c r="M158" s="570"/>
      <c r="N158" s="570"/>
      <c r="O158" s="570"/>
      <c r="P158" s="570"/>
      <c r="Q158" s="570"/>
      <c r="R158" s="570"/>
      <c r="S158" s="570"/>
      <c r="T158" s="570"/>
    </row>
    <row r="159" spans="1:20" s="569" customFormat="1" ht="15" customHeight="1">
      <c r="A159" s="571"/>
      <c r="B159" s="111"/>
      <c r="C159" s="572"/>
      <c r="D159" s="573"/>
      <c r="E159" s="572"/>
      <c r="F159" s="1056"/>
      <c r="H159" s="570"/>
      <c r="I159" s="570"/>
      <c r="J159" s="570"/>
      <c r="K159" s="570"/>
      <c r="L159" s="570"/>
      <c r="M159" s="570"/>
      <c r="N159" s="570"/>
      <c r="O159" s="570"/>
      <c r="P159" s="570"/>
      <c r="Q159" s="570"/>
      <c r="R159" s="570"/>
      <c r="S159" s="570"/>
      <c r="T159" s="570"/>
    </row>
    <row r="160" spans="1:20" s="569" customFormat="1" ht="15" customHeight="1">
      <c r="A160" s="571"/>
      <c r="B160" s="111"/>
      <c r="C160" s="572"/>
      <c r="D160" s="573"/>
      <c r="E160" s="572"/>
      <c r="F160" s="1056"/>
      <c r="H160" s="570"/>
      <c r="I160" s="570"/>
      <c r="J160" s="570"/>
      <c r="K160" s="570"/>
      <c r="L160" s="570"/>
      <c r="M160" s="570"/>
      <c r="N160" s="570"/>
      <c r="O160" s="570"/>
      <c r="P160" s="570"/>
      <c r="Q160" s="570"/>
      <c r="R160" s="570"/>
      <c r="S160" s="570"/>
      <c r="T160" s="570"/>
    </row>
    <row r="161" spans="1:20" s="569" customFormat="1" ht="15" customHeight="1">
      <c r="A161" s="571"/>
      <c r="B161" s="111"/>
      <c r="C161" s="572"/>
      <c r="D161" s="573"/>
      <c r="E161" s="572"/>
      <c r="F161" s="1056"/>
      <c r="H161" s="570"/>
      <c r="I161" s="570"/>
      <c r="J161" s="570"/>
      <c r="K161" s="570"/>
      <c r="L161" s="570"/>
      <c r="M161" s="570"/>
      <c r="N161" s="570"/>
      <c r="O161" s="570"/>
      <c r="P161" s="570"/>
      <c r="Q161" s="570"/>
      <c r="R161" s="570"/>
      <c r="S161" s="570"/>
      <c r="T161" s="570"/>
    </row>
    <row r="162" spans="1:20" s="569" customFormat="1" ht="15" customHeight="1">
      <c r="A162" s="571"/>
      <c r="B162" s="111"/>
      <c r="C162" s="572"/>
      <c r="D162" s="573"/>
      <c r="E162" s="572"/>
      <c r="F162" s="1056"/>
      <c r="H162" s="570"/>
      <c r="I162" s="570"/>
      <c r="J162" s="570"/>
      <c r="K162" s="570"/>
      <c r="L162" s="570"/>
      <c r="M162" s="570"/>
      <c r="N162" s="570"/>
      <c r="O162" s="570"/>
      <c r="P162" s="570"/>
      <c r="Q162" s="570"/>
      <c r="R162" s="570"/>
      <c r="S162" s="570"/>
      <c r="T162" s="570"/>
    </row>
    <row r="163" spans="1:20" s="569" customFormat="1" ht="15" customHeight="1">
      <c r="A163" s="571"/>
      <c r="B163" s="111"/>
      <c r="C163" s="572"/>
      <c r="D163" s="573"/>
      <c r="E163" s="572"/>
      <c r="F163" s="1056"/>
      <c r="H163" s="570"/>
      <c r="I163" s="570"/>
      <c r="J163" s="570"/>
      <c r="K163" s="570"/>
      <c r="L163" s="570"/>
      <c r="M163" s="570"/>
      <c r="N163" s="570"/>
      <c r="O163" s="570"/>
      <c r="P163" s="570"/>
      <c r="Q163" s="570"/>
      <c r="R163" s="570"/>
      <c r="S163" s="570"/>
      <c r="T163" s="570"/>
    </row>
    <row r="164" spans="1:20" s="569" customFormat="1" ht="15" customHeight="1">
      <c r="A164" s="571"/>
      <c r="B164" s="111"/>
      <c r="C164" s="572"/>
      <c r="D164" s="573"/>
      <c r="E164" s="572"/>
      <c r="F164" s="1056"/>
      <c r="H164" s="570"/>
      <c r="I164" s="570"/>
      <c r="J164" s="570"/>
      <c r="K164" s="570"/>
      <c r="L164" s="570"/>
      <c r="M164" s="570"/>
      <c r="N164" s="570"/>
      <c r="O164" s="570"/>
      <c r="P164" s="570"/>
      <c r="Q164" s="570"/>
      <c r="R164" s="570"/>
      <c r="S164" s="570"/>
      <c r="T164" s="570"/>
    </row>
    <row r="165" spans="1:20" s="569" customFormat="1" ht="15" customHeight="1">
      <c r="A165" s="571"/>
      <c r="B165" s="111"/>
      <c r="C165" s="572"/>
      <c r="D165" s="573"/>
      <c r="E165" s="572"/>
      <c r="F165" s="1056"/>
      <c r="H165" s="570"/>
      <c r="I165" s="570"/>
      <c r="J165" s="570"/>
      <c r="K165" s="570"/>
      <c r="L165" s="570"/>
      <c r="M165" s="570"/>
      <c r="N165" s="570"/>
      <c r="O165" s="570"/>
      <c r="P165" s="570"/>
      <c r="Q165" s="570"/>
      <c r="R165" s="570"/>
      <c r="S165" s="570"/>
      <c r="T165" s="570"/>
    </row>
    <row r="166" spans="1:20" s="569" customFormat="1" ht="15" customHeight="1">
      <c r="A166" s="571"/>
      <c r="B166" s="111"/>
      <c r="C166" s="572"/>
      <c r="D166" s="573"/>
      <c r="E166" s="572"/>
      <c r="F166" s="1056"/>
      <c r="H166" s="570"/>
      <c r="I166" s="570"/>
      <c r="J166" s="570"/>
      <c r="K166" s="570"/>
      <c r="L166" s="570"/>
      <c r="M166" s="570"/>
      <c r="N166" s="570"/>
      <c r="O166" s="570"/>
      <c r="P166" s="570"/>
      <c r="Q166" s="570"/>
      <c r="R166" s="570"/>
      <c r="S166" s="570"/>
      <c r="T166" s="570"/>
    </row>
    <row r="167" spans="1:20" s="569" customFormat="1" ht="15" customHeight="1">
      <c r="A167" s="571"/>
      <c r="B167" s="111"/>
      <c r="C167" s="572"/>
      <c r="D167" s="573"/>
      <c r="E167" s="572"/>
      <c r="F167" s="1056"/>
      <c r="H167" s="570"/>
      <c r="I167" s="570"/>
      <c r="J167" s="570"/>
      <c r="K167" s="570"/>
      <c r="L167" s="570"/>
      <c r="M167" s="570"/>
      <c r="N167" s="570"/>
      <c r="O167" s="570"/>
      <c r="P167" s="570"/>
      <c r="Q167" s="570"/>
      <c r="R167" s="570"/>
      <c r="S167" s="570"/>
      <c r="T167" s="570"/>
    </row>
    <row r="168" spans="1:20" s="569" customFormat="1" ht="15" customHeight="1">
      <c r="A168" s="571"/>
      <c r="B168" s="111"/>
      <c r="C168" s="572"/>
      <c r="D168" s="573"/>
      <c r="E168" s="572"/>
      <c r="F168" s="1056"/>
      <c r="H168" s="570"/>
      <c r="I168" s="570"/>
      <c r="J168" s="570"/>
      <c r="K168" s="570"/>
      <c r="L168" s="570"/>
      <c r="M168" s="570"/>
      <c r="N168" s="570"/>
      <c r="O168" s="570"/>
      <c r="P168" s="570"/>
      <c r="Q168" s="570"/>
      <c r="R168" s="570"/>
      <c r="S168" s="570"/>
      <c r="T168" s="570"/>
    </row>
    <row r="169" spans="1:20" s="569" customFormat="1" ht="15" customHeight="1">
      <c r="A169" s="571"/>
      <c r="B169" s="111"/>
      <c r="C169" s="572"/>
      <c r="D169" s="573"/>
      <c r="E169" s="572"/>
      <c r="F169" s="1056"/>
      <c r="H169" s="570"/>
      <c r="I169" s="570"/>
      <c r="J169" s="570"/>
      <c r="K169" s="570"/>
      <c r="L169" s="570"/>
      <c r="M169" s="570"/>
      <c r="N169" s="570"/>
      <c r="O169" s="570"/>
      <c r="P169" s="570"/>
      <c r="Q169" s="570"/>
      <c r="R169" s="570"/>
      <c r="S169" s="570"/>
      <c r="T169" s="570"/>
    </row>
    <row r="170" spans="1:20" s="569" customFormat="1" ht="15" customHeight="1">
      <c r="A170" s="571"/>
      <c r="B170" s="111"/>
      <c r="C170" s="572"/>
      <c r="D170" s="573"/>
      <c r="E170" s="572"/>
      <c r="F170" s="1056"/>
      <c r="H170" s="570"/>
      <c r="I170" s="570"/>
      <c r="J170" s="570"/>
      <c r="K170" s="570"/>
      <c r="L170" s="570"/>
      <c r="M170" s="570"/>
      <c r="N170" s="570"/>
      <c r="O170" s="570"/>
      <c r="P170" s="570"/>
      <c r="Q170" s="570"/>
      <c r="R170" s="570"/>
      <c r="S170" s="570"/>
      <c r="T170" s="570"/>
    </row>
    <row r="171" spans="1:20" s="569" customFormat="1" ht="15" customHeight="1">
      <c r="A171" s="571"/>
      <c r="B171" s="111"/>
      <c r="C171" s="572"/>
      <c r="D171" s="573"/>
      <c r="E171" s="572"/>
      <c r="F171" s="1056"/>
      <c r="H171" s="570"/>
      <c r="I171" s="570"/>
      <c r="J171" s="570"/>
      <c r="K171" s="570"/>
      <c r="L171" s="570"/>
      <c r="M171" s="570"/>
      <c r="N171" s="570"/>
      <c r="O171" s="570"/>
      <c r="P171" s="570"/>
      <c r="Q171" s="570"/>
      <c r="R171" s="570"/>
      <c r="S171" s="570"/>
      <c r="T171" s="570"/>
    </row>
    <row r="172" spans="1:20" s="569" customFormat="1" ht="15" customHeight="1">
      <c r="A172" s="571"/>
      <c r="B172" s="111"/>
      <c r="C172" s="572"/>
      <c r="D172" s="573"/>
      <c r="E172" s="572"/>
      <c r="F172" s="1056"/>
      <c r="H172" s="570"/>
      <c r="I172" s="570"/>
      <c r="J172" s="570"/>
      <c r="K172" s="570"/>
      <c r="L172" s="570"/>
      <c r="M172" s="570"/>
      <c r="N172" s="570"/>
      <c r="O172" s="570"/>
      <c r="P172" s="570"/>
      <c r="Q172" s="570"/>
      <c r="R172" s="570"/>
      <c r="S172" s="570"/>
      <c r="T172" s="570"/>
    </row>
    <row r="173" spans="1:20" s="569" customFormat="1" ht="15" customHeight="1">
      <c r="A173" s="571"/>
      <c r="B173" s="111"/>
      <c r="C173" s="572"/>
      <c r="D173" s="573"/>
      <c r="E173" s="572"/>
      <c r="F173" s="1056"/>
      <c r="H173" s="570"/>
      <c r="I173" s="570"/>
      <c r="J173" s="570"/>
      <c r="K173" s="570"/>
      <c r="L173" s="570"/>
      <c r="M173" s="570"/>
      <c r="N173" s="570"/>
      <c r="O173" s="570"/>
      <c r="P173" s="570"/>
      <c r="Q173" s="570"/>
      <c r="R173" s="570"/>
      <c r="S173" s="570"/>
      <c r="T173" s="570"/>
    </row>
    <row r="174" spans="1:20" s="569" customFormat="1" ht="15" customHeight="1">
      <c r="A174" s="571"/>
      <c r="B174" s="111"/>
      <c r="C174" s="572"/>
      <c r="D174" s="573"/>
      <c r="E174" s="572"/>
      <c r="F174" s="1056"/>
      <c r="H174" s="570"/>
      <c r="I174" s="570"/>
      <c r="J174" s="570"/>
      <c r="K174" s="570"/>
      <c r="L174" s="570"/>
      <c r="M174" s="570"/>
      <c r="N174" s="570"/>
      <c r="O174" s="570"/>
      <c r="P174" s="570"/>
      <c r="Q174" s="570"/>
      <c r="R174" s="570"/>
      <c r="S174" s="570"/>
      <c r="T174" s="570"/>
    </row>
    <row r="175" spans="1:20" s="569" customFormat="1" ht="15" customHeight="1">
      <c r="A175" s="571"/>
      <c r="B175" s="111"/>
      <c r="C175" s="572"/>
      <c r="D175" s="573"/>
      <c r="E175" s="572"/>
      <c r="F175" s="1056"/>
      <c r="H175" s="570"/>
      <c r="I175" s="570"/>
      <c r="J175" s="570"/>
      <c r="K175" s="570"/>
      <c r="L175" s="570"/>
      <c r="M175" s="570"/>
      <c r="N175" s="570"/>
      <c r="O175" s="570"/>
      <c r="P175" s="570"/>
      <c r="Q175" s="570"/>
      <c r="R175" s="570"/>
      <c r="S175" s="570"/>
      <c r="T175" s="570"/>
    </row>
    <row r="176" spans="1:20" s="569" customFormat="1" ht="15" customHeight="1">
      <c r="A176" s="571"/>
      <c r="B176" s="111"/>
      <c r="C176" s="572"/>
      <c r="D176" s="573"/>
      <c r="E176" s="572"/>
      <c r="F176" s="1056"/>
      <c r="H176" s="570"/>
      <c r="I176" s="570"/>
      <c r="J176" s="570"/>
      <c r="K176" s="570"/>
      <c r="L176" s="570"/>
      <c r="M176" s="570"/>
      <c r="N176" s="570"/>
      <c r="O176" s="570"/>
      <c r="P176" s="570"/>
      <c r="Q176" s="570"/>
      <c r="R176" s="570"/>
      <c r="S176" s="570"/>
      <c r="T176" s="570"/>
    </row>
    <row r="177" spans="1:20" s="569" customFormat="1" ht="15" customHeight="1">
      <c r="A177" s="571"/>
      <c r="B177" s="111"/>
      <c r="C177" s="572"/>
      <c r="D177" s="573"/>
      <c r="E177" s="572"/>
      <c r="F177" s="1056"/>
      <c r="H177" s="570"/>
      <c r="I177" s="570"/>
      <c r="J177" s="570"/>
      <c r="K177" s="570"/>
      <c r="L177" s="570"/>
      <c r="M177" s="570"/>
      <c r="N177" s="570"/>
      <c r="O177" s="570"/>
      <c r="P177" s="570"/>
      <c r="Q177" s="570"/>
      <c r="R177" s="570"/>
      <c r="S177" s="570"/>
      <c r="T177" s="570"/>
    </row>
    <row r="178" spans="1:20" s="569" customFormat="1" ht="15" customHeight="1">
      <c r="A178" s="571"/>
      <c r="B178" s="111"/>
      <c r="C178" s="572"/>
      <c r="D178" s="573"/>
      <c r="E178" s="572"/>
      <c r="F178" s="1056"/>
      <c r="H178" s="570"/>
      <c r="I178" s="570"/>
      <c r="J178" s="570"/>
      <c r="K178" s="570"/>
      <c r="L178" s="570"/>
      <c r="M178" s="570"/>
      <c r="N178" s="570"/>
      <c r="O178" s="570"/>
      <c r="P178" s="570"/>
      <c r="Q178" s="570"/>
      <c r="R178" s="570"/>
      <c r="S178" s="570"/>
      <c r="T178" s="570"/>
    </row>
    <row r="179" spans="1:20" s="569" customFormat="1" ht="15" customHeight="1">
      <c r="A179" s="571"/>
      <c r="B179" s="111"/>
      <c r="C179" s="572"/>
      <c r="D179" s="573"/>
      <c r="E179" s="572"/>
      <c r="F179" s="1056"/>
      <c r="H179" s="570"/>
      <c r="I179" s="570"/>
      <c r="J179" s="570"/>
      <c r="K179" s="570"/>
      <c r="L179" s="570"/>
      <c r="M179" s="570"/>
      <c r="N179" s="570"/>
      <c r="O179" s="570"/>
      <c r="P179" s="570"/>
      <c r="Q179" s="570"/>
      <c r="R179" s="570"/>
      <c r="S179" s="570"/>
      <c r="T179" s="570"/>
    </row>
    <row r="180" spans="1:20" s="569" customFormat="1" ht="15" customHeight="1">
      <c r="A180" s="571"/>
      <c r="B180" s="111"/>
      <c r="C180" s="572"/>
      <c r="D180" s="573"/>
      <c r="E180" s="572"/>
      <c r="F180" s="1056"/>
      <c r="H180" s="570"/>
      <c r="I180" s="570"/>
      <c r="J180" s="570"/>
      <c r="K180" s="570"/>
      <c r="L180" s="570"/>
      <c r="M180" s="570"/>
      <c r="N180" s="570"/>
      <c r="O180" s="570"/>
      <c r="P180" s="570"/>
      <c r="Q180" s="570"/>
      <c r="R180" s="570"/>
      <c r="S180" s="570"/>
      <c r="T180" s="570"/>
    </row>
    <row r="181" spans="1:20" s="569" customFormat="1" ht="15" customHeight="1">
      <c r="A181" s="571"/>
      <c r="B181" s="111"/>
      <c r="C181" s="572"/>
      <c r="D181" s="573"/>
      <c r="E181" s="572"/>
      <c r="F181" s="1056"/>
      <c r="H181" s="570"/>
      <c r="I181" s="570"/>
      <c r="J181" s="570"/>
      <c r="K181" s="570"/>
      <c r="L181" s="570"/>
      <c r="M181" s="570"/>
      <c r="N181" s="570"/>
      <c r="O181" s="570"/>
      <c r="P181" s="570"/>
      <c r="Q181" s="570"/>
      <c r="R181" s="570"/>
      <c r="S181" s="570"/>
      <c r="T181" s="570"/>
    </row>
    <row r="182" spans="1:20" s="569" customFormat="1" ht="15" customHeight="1">
      <c r="A182" s="571"/>
      <c r="B182" s="111"/>
      <c r="C182" s="572"/>
      <c r="D182" s="573"/>
      <c r="E182" s="572"/>
      <c r="F182" s="1056"/>
      <c r="H182" s="570"/>
      <c r="I182" s="570"/>
      <c r="J182" s="570"/>
      <c r="K182" s="570"/>
      <c r="L182" s="570"/>
      <c r="M182" s="570"/>
      <c r="N182" s="570"/>
      <c r="O182" s="570"/>
      <c r="P182" s="570"/>
      <c r="Q182" s="570"/>
      <c r="R182" s="570"/>
      <c r="S182" s="570"/>
      <c r="T182" s="570"/>
    </row>
    <row r="183" spans="1:20" s="569" customFormat="1" ht="15" customHeight="1">
      <c r="A183" s="571"/>
      <c r="B183" s="111"/>
      <c r="C183" s="572"/>
      <c r="D183" s="573"/>
      <c r="E183" s="572"/>
      <c r="F183" s="1056"/>
      <c r="H183" s="570"/>
      <c r="I183" s="570"/>
      <c r="J183" s="570"/>
      <c r="K183" s="570"/>
      <c r="L183" s="570"/>
      <c r="M183" s="570"/>
      <c r="N183" s="570"/>
      <c r="O183" s="570"/>
      <c r="P183" s="570"/>
      <c r="Q183" s="570"/>
      <c r="R183" s="570"/>
      <c r="S183" s="570"/>
      <c r="T183" s="570"/>
    </row>
    <row r="184" spans="1:20" s="569" customFormat="1" ht="15" customHeight="1">
      <c r="A184" s="571"/>
      <c r="B184" s="111"/>
      <c r="C184" s="572"/>
      <c r="D184" s="573"/>
      <c r="E184" s="572"/>
      <c r="F184" s="1056"/>
      <c r="H184" s="570"/>
      <c r="I184" s="570"/>
      <c r="J184" s="570"/>
      <c r="K184" s="570"/>
      <c r="L184" s="570"/>
      <c r="M184" s="570"/>
      <c r="N184" s="570"/>
      <c r="O184" s="570"/>
      <c r="P184" s="570"/>
      <c r="Q184" s="570"/>
      <c r="R184" s="570"/>
      <c r="S184" s="570"/>
      <c r="T184" s="570"/>
    </row>
    <row r="185" spans="1:20" s="569" customFormat="1" ht="15" customHeight="1">
      <c r="A185" s="571"/>
      <c r="B185" s="111"/>
      <c r="C185" s="572"/>
      <c r="D185" s="573"/>
      <c r="E185" s="572"/>
      <c r="F185" s="1056"/>
      <c r="H185" s="570"/>
      <c r="I185" s="570"/>
      <c r="J185" s="570"/>
      <c r="K185" s="570"/>
      <c r="L185" s="570"/>
      <c r="M185" s="570"/>
      <c r="N185" s="570"/>
      <c r="O185" s="570"/>
      <c r="P185" s="570"/>
      <c r="Q185" s="570"/>
      <c r="R185" s="570"/>
      <c r="S185" s="570"/>
      <c r="T185" s="570"/>
    </row>
    <row r="186" spans="1:20" s="569" customFormat="1" ht="15" customHeight="1">
      <c r="A186" s="571"/>
      <c r="B186" s="111"/>
      <c r="C186" s="572"/>
      <c r="D186" s="573"/>
      <c r="E186" s="572"/>
      <c r="F186" s="1056"/>
      <c r="H186" s="570"/>
      <c r="I186" s="570"/>
      <c r="J186" s="570"/>
      <c r="K186" s="570"/>
      <c r="L186" s="570"/>
      <c r="M186" s="570"/>
      <c r="N186" s="570"/>
      <c r="O186" s="570"/>
      <c r="P186" s="570"/>
      <c r="Q186" s="570"/>
      <c r="R186" s="570"/>
      <c r="S186" s="570"/>
      <c r="T186" s="570"/>
    </row>
    <row r="187" spans="1:20" s="569" customFormat="1" ht="15" customHeight="1">
      <c r="A187" s="571"/>
      <c r="B187" s="111"/>
      <c r="C187" s="572"/>
      <c r="D187" s="573"/>
      <c r="E187" s="572"/>
      <c r="F187" s="1056"/>
      <c r="H187" s="570"/>
      <c r="I187" s="570"/>
      <c r="J187" s="570"/>
      <c r="K187" s="570"/>
      <c r="L187" s="570"/>
      <c r="M187" s="570"/>
      <c r="N187" s="570"/>
      <c r="O187" s="570"/>
      <c r="P187" s="570"/>
      <c r="Q187" s="570"/>
      <c r="R187" s="570"/>
      <c r="S187" s="570"/>
      <c r="T187" s="570"/>
    </row>
    <row r="188" spans="1:20" s="569" customFormat="1" ht="15" customHeight="1">
      <c r="A188" s="571"/>
      <c r="B188" s="111"/>
      <c r="C188" s="572"/>
      <c r="D188" s="573"/>
      <c r="E188" s="572"/>
      <c r="F188" s="1056"/>
      <c r="H188" s="570"/>
      <c r="I188" s="570"/>
      <c r="J188" s="570"/>
      <c r="K188" s="570"/>
      <c r="L188" s="570"/>
      <c r="M188" s="570"/>
      <c r="N188" s="570"/>
      <c r="O188" s="570"/>
      <c r="P188" s="570"/>
      <c r="Q188" s="570"/>
      <c r="R188" s="570"/>
      <c r="S188" s="570"/>
      <c r="T188" s="570"/>
    </row>
    <row r="189" spans="1:20" s="569" customFormat="1" ht="15" customHeight="1">
      <c r="A189" s="571"/>
      <c r="B189" s="111"/>
      <c r="C189" s="572"/>
      <c r="D189" s="573"/>
      <c r="E189" s="572"/>
      <c r="F189" s="1056"/>
      <c r="H189" s="570"/>
      <c r="I189" s="570"/>
      <c r="J189" s="570"/>
      <c r="K189" s="570"/>
      <c r="L189" s="570"/>
      <c r="M189" s="570"/>
      <c r="N189" s="570"/>
      <c r="O189" s="570"/>
      <c r="P189" s="570"/>
      <c r="Q189" s="570"/>
      <c r="R189" s="570"/>
      <c r="S189" s="570"/>
      <c r="T189" s="570"/>
    </row>
    <row r="190" spans="1:20" s="569" customFormat="1" ht="15" customHeight="1">
      <c r="A190" s="571"/>
      <c r="B190" s="111"/>
      <c r="C190" s="572"/>
      <c r="D190" s="573"/>
      <c r="E190" s="572"/>
      <c r="F190" s="1056"/>
      <c r="H190" s="570"/>
      <c r="I190" s="570"/>
      <c r="J190" s="570"/>
      <c r="K190" s="570"/>
      <c r="L190" s="570"/>
      <c r="M190" s="570"/>
      <c r="N190" s="570"/>
      <c r="O190" s="570"/>
      <c r="P190" s="570"/>
      <c r="Q190" s="570"/>
      <c r="R190" s="570"/>
      <c r="S190" s="570"/>
      <c r="T190" s="570"/>
    </row>
    <row r="191" spans="1:20" s="569" customFormat="1" ht="15" customHeight="1">
      <c r="A191" s="571"/>
      <c r="B191" s="111"/>
      <c r="C191" s="572"/>
      <c r="D191" s="573"/>
      <c r="E191" s="572"/>
      <c r="F191" s="1056"/>
      <c r="H191" s="570"/>
      <c r="I191" s="570"/>
      <c r="J191" s="570"/>
      <c r="K191" s="570"/>
      <c r="L191" s="570"/>
      <c r="M191" s="570"/>
      <c r="N191" s="570"/>
      <c r="O191" s="570"/>
      <c r="P191" s="570"/>
      <c r="Q191" s="570"/>
      <c r="R191" s="570"/>
      <c r="S191" s="570"/>
      <c r="T191" s="570"/>
    </row>
    <row r="192" spans="1:20" s="569" customFormat="1" ht="15" customHeight="1">
      <c r="A192" s="571"/>
      <c r="B192" s="111"/>
      <c r="C192" s="572"/>
      <c r="D192" s="573"/>
      <c r="E192" s="572"/>
      <c r="F192" s="1056"/>
      <c r="H192" s="570"/>
      <c r="I192" s="570"/>
      <c r="J192" s="570"/>
      <c r="K192" s="570"/>
      <c r="L192" s="570"/>
      <c r="M192" s="570"/>
      <c r="N192" s="570"/>
      <c r="O192" s="570"/>
      <c r="P192" s="570"/>
      <c r="Q192" s="570"/>
      <c r="R192" s="570"/>
      <c r="S192" s="570"/>
      <c r="T192" s="570"/>
    </row>
    <row r="193" spans="1:20" s="569" customFormat="1" ht="15" customHeight="1">
      <c r="A193" s="571"/>
      <c r="B193" s="111"/>
      <c r="C193" s="572"/>
      <c r="D193" s="573"/>
      <c r="E193" s="572"/>
      <c r="F193" s="1056"/>
      <c r="H193" s="570"/>
      <c r="I193" s="570"/>
      <c r="J193" s="570"/>
      <c r="K193" s="570"/>
      <c r="L193" s="570"/>
      <c r="M193" s="570"/>
      <c r="N193" s="570"/>
      <c r="O193" s="570"/>
      <c r="P193" s="570"/>
      <c r="Q193" s="570"/>
      <c r="R193" s="570"/>
      <c r="S193" s="570"/>
      <c r="T193" s="570"/>
    </row>
    <row r="194" spans="1:20" s="569" customFormat="1" ht="15" customHeight="1">
      <c r="A194" s="571"/>
      <c r="B194" s="111"/>
      <c r="C194" s="572"/>
      <c r="D194" s="573"/>
      <c r="E194" s="572"/>
      <c r="F194" s="1056"/>
      <c r="H194" s="570"/>
      <c r="I194" s="570"/>
      <c r="J194" s="570"/>
      <c r="K194" s="570"/>
      <c r="L194" s="570"/>
      <c r="M194" s="570"/>
      <c r="N194" s="570"/>
      <c r="O194" s="570"/>
      <c r="P194" s="570"/>
      <c r="Q194" s="570"/>
      <c r="R194" s="570"/>
      <c r="S194" s="570"/>
      <c r="T194" s="570"/>
    </row>
    <row r="195" spans="1:20" s="569" customFormat="1" ht="15" customHeight="1">
      <c r="A195" s="571"/>
      <c r="B195" s="111"/>
      <c r="C195" s="572"/>
      <c r="D195" s="573"/>
      <c r="E195" s="572"/>
      <c r="F195" s="1056"/>
      <c r="H195" s="570"/>
      <c r="I195" s="570"/>
      <c r="J195" s="570"/>
      <c r="K195" s="570"/>
      <c r="L195" s="570"/>
      <c r="M195" s="570"/>
      <c r="N195" s="570"/>
      <c r="O195" s="570"/>
      <c r="P195" s="570"/>
      <c r="Q195" s="570"/>
      <c r="R195" s="570"/>
      <c r="S195" s="570"/>
      <c r="T195" s="570"/>
    </row>
    <row r="196" spans="1:20" s="569" customFormat="1" ht="15" customHeight="1">
      <c r="A196" s="571"/>
      <c r="B196" s="111"/>
      <c r="C196" s="572"/>
      <c r="D196" s="573"/>
      <c r="E196" s="572"/>
      <c r="F196" s="1056"/>
      <c r="H196" s="570"/>
      <c r="I196" s="570"/>
      <c r="J196" s="570"/>
      <c r="K196" s="570"/>
      <c r="L196" s="570"/>
      <c r="M196" s="570"/>
      <c r="N196" s="570"/>
      <c r="O196" s="570"/>
      <c r="P196" s="570"/>
      <c r="Q196" s="570"/>
      <c r="R196" s="570"/>
      <c r="S196" s="570"/>
      <c r="T196" s="570"/>
    </row>
    <row r="197" spans="1:20" s="569" customFormat="1" ht="15" customHeight="1">
      <c r="A197" s="571"/>
      <c r="B197" s="111"/>
      <c r="C197" s="572"/>
      <c r="D197" s="573"/>
      <c r="E197" s="572"/>
      <c r="F197" s="1056"/>
      <c r="H197" s="570"/>
      <c r="I197" s="570"/>
      <c r="J197" s="570"/>
      <c r="K197" s="570"/>
      <c r="L197" s="570"/>
      <c r="M197" s="570"/>
      <c r="N197" s="570"/>
      <c r="O197" s="570"/>
      <c r="P197" s="570"/>
      <c r="Q197" s="570"/>
      <c r="R197" s="570"/>
      <c r="S197" s="570"/>
      <c r="T197" s="570"/>
    </row>
    <row r="198" spans="1:20" s="569" customFormat="1" ht="15" customHeight="1">
      <c r="A198" s="571"/>
      <c r="B198" s="111"/>
      <c r="C198" s="572"/>
      <c r="D198" s="573"/>
      <c r="E198" s="572"/>
      <c r="F198" s="1056"/>
      <c r="H198" s="570"/>
      <c r="I198" s="570"/>
      <c r="J198" s="570"/>
      <c r="K198" s="570"/>
      <c r="L198" s="570"/>
      <c r="M198" s="570"/>
      <c r="N198" s="570"/>
      <c r="O198" s="570"/>
      <c r="P198" s="570"/>
      <c r="Q198" s="570"/>
      <c r="R198" s="570"/>
      <c r="S198" s="570"/>
      <c r="T198" s="570"/>
    </row>
    <row r="199" spans="1:20" s="569" customFormat="1" ht="15" customHeight="1">
      <c r="A199" s="571"/>
      <c r="B199" s="111"/>
      <c r="C199" s="572"/>
      <c r="D199" s="573"/>
      <c r="E199" s="572"/>
      <c r="F199" s="1056"/>
      <c r="H199" s="570"/>
      <c r="I199" s="570"/>
      <c r="J199" s="570"/>
      <c r="K199" s="570"/>
      <c r="L199" s="570"/>
      <c r="M199" s="570"/>
      <c r="N199" s="570"/>
      <c r="O199" s="570"/>
      <c r="P199" s="570"/>
      <c r="Q199" s="570"/>
      <c r="R199" s="570"/>
      <c r="S199" s="570"/>
      <c r="T199" s="570"/>
    </row>
    <row r="200" spans="1:20" s="569" customFormat="1" ht="15" customHeight="1">
      <c r="A200" s="571"/>
      <c r="B200" s="111"/>
      <c r="C200" s="572"/>
      <c r="D200" s="573"/>
      <c r="E200" s="572"/>
      <c r="F200" s="1056"/>
      <c r="H200" s="570"/>
      <c r="I200" s="570"/>
      <c r="J200" s="570"/>
      <c r="K200" s="570"/>
      <c r="L200" s="570"/>
      <c r="M200" s="570"/>
      <c r="N200" s="570"/>
      <c r="O200" s="570"/>
      <c r="P200" s="570"/>
      <c r="Q200" s="570"/>
      <c r="R200" s="570"/>
      <c r="S200" s="570"/>
      <c r="T200" s="570"/>
    </row>
    <row r="201" spans="1:20" s="569" customFormat="1" ht="15" customHeight="1">
      <c r="A201" s="571"/>
      <c r="B201" s="111"/>
      <c r="C201" s="572"/>
      <c r="D201" s="573"/>
      <c r="E201" s="572"/>
      <c r="F201" s="1056"/>
      <c r="H201" s="570"/>
      <c r="I201" s="570"/>
      <c r="J201" s="570"/>
      <c r="K201" s="570"/>
      <c r="L201" s="570"/>
      <c r="M201" s="570"/>
      <c r="N201" s="570"/>
      <c r="O201" s="570"/>
      <c r="P201" s="570"/>
      <c r="Q201" s="570"/>
      <c r="R201" s="570"/>
      <c r="S201" s="570"/>
      <c r="T201" s="570"/>
    </row>
    <row r="202" spans="1:20" s="569" customFormat="1" ht="15" customHeight="1">
      <c r="A202" s="571"/>
      <c r="B202" s="111"/>
      <c r="C202" s="572"/>
      <c r="D202" s="573"/>
      <c r="E202" s="572"/>
      <c r="F202" s="1056"/>
      <c r="H202" s="570"/>
      <c r="I202" s="570"/>
      <c r="J202" s="570"/>
      <c r="K202" s="570"/>
      <c r="L202" s="570"/>
      <c r="M202" s="570"/>
      <c r="N202" s="570"/>
      <c r="O202" s="570"/>
      <c r="P202" s="570"/>
      <c r="Q202" s="570"/>
      <c r="R202" s="570"/>
      <c r="S202" s="570"/>
      <c r="T202" s="570"/>
    </row>
    <row r="203" spans="1:20" s="569" customFormat="1" ht="15" customHeight="1">
      <c r="A203" s="571"/>
      <c r="B203" s="111"/>
      <c r="C203" s="572"/>
      <c r="D203" s="573"/>
      <c r="E203" s="572"/>
      <c r="F203" s="1056"/>
      <c r="H203" s="570"/>
      <c r="I203" s="570"/>
      <c r="J203" s="570"/>
      <c r="K203" s="570"/>
      <c r="L203" s="570"/>
      <c r="M203" s="570"/>
      <c r="N203" s="570"/>
      <c r="O203" s="570"/>
      <c r="P203" s="570"/>
      <c r="Q203" s="570"/>
      <c r="R203" s="570"/>
      <c r="S203" s="570"/>
      <c r="T203" s="570"/>
    </row>
    <row r="204" spans="1:20" s="569" customFormat="1" ht="15" customHeight="1">
      <c r="A204" s="571"/>
      <c r="B204" s="111"/>
      <c r="C204" s="572"/>
      <c r="D204" s="573"/>
      <c r="E204" s="572"/>
      <c r="F204" s="1056"/>
      <c r="H204" s="570"/>
      <c r="I204" s="570"/>
      <c r="J204" s="570"/>
      <c r="K204" s="570"/>
      <c r="L204" s="570"/>
      <c r="M204" s="570"/>
      <c r="N204" s="570"/>
      <c r="O204" s="570"/>
      <c r="P204" s="570"/>
      <c r="Q204" s="570"/>
      <c r="R204" s="570"/>
      <c r="S204" s="570"/>
      <c r="T204" s="570"/>
    </row>
    <row r="205" spans="1:20" s="569" customFormat="1" ht="15" customHeight="1">
      <c r="A205" s="571"/>
      <c r="B205" s="111"/>
      <c r="C205" s="572"/>
      <c r="D205" s="573"/>
      <c r="E205" s="572"/>
      <c r="F205" s="1056"/>
      <c r="H205" s="570"/>
      <c r="I205" s="570"/>
      <c r="J205" s="570"/>
      <c r="K205" s="570"/>
      <c r="L205" s="570"/>
      <c r="M205" s="570"/>
      <c r="N205" s="570"/>
      <c r="O205" s="570"/>
      <c r="P205" s="570"/>
      <c r="Q205" s="570"/>
      <c r="R205" s="570"/>
      <c r="S205" s="570"/>
      <c r="T205" s="570"/>
    </row>
    <row r="206" spans="1:20" s="569" customFormat="1" ht="15" customHeight="1">
      <c r="A206" s="571"/>
      <c r="B206" s="111"/>
      <c r="C206" s="572"/>
      <c r="D206" s="573"/>
      <c r="E206" s="572"/>
      <c r="F206" s="1056"/>
      <c r="H206" s="570"/>
      <c r="I206" s="570"/>
      <c r="J206" s="570"/>
      <c r="K206" s="570"/>
      <c r="L206" s="570"/>
      <c r="M206" s="570"/>
      <c r="N206" s="570"/>
      <c r="O206" s="570"/>
      <c r="P206" s="570"/>
      <c r="Q206" s="570"/>
      <c r="R206" s="570"/>
      <c r="S206" s="570"/>
      <c r="T206" s="570"/>
    </row>
    <row r="207" spans="1:20" s="569" customFormat="1" ht="15" customHeight="1">
      <c r="A207" s="571"/>
      <c r="B207" s="111"/>
      <c r="C207" s="572"/>
      <c r="D207" s="573"/>
      <c r="E207" s="572"/>
      <c r="F207" s="1056"/>
      <c r="H207" s="570"/>
      <c r="I207" s="570"/>
      <c r="J207" s="570"/>
      <c r="K207" s="570"/>
      <c r="L207" s="570"/>
      <c r="M207" s="570"/>
      <c r="N207" s="570"/>
      <c r="O207" s="570"/>
      <c r="P207" s="570"/>
      <c r="Q207" s="570"/>
      <c r="R207" s="570"/>
      <c r="S207" s="570"/>
      <c r="T207" s="570"/>
    </row>
    <row r="208" spans="1:20" s="569" customFormat="1" ht="15" customHeight="1">
      <c r="A208" s="571"/>
      <c r="B208" s="111"/>
      <c r="C208" s="572"/>
      <c r="D208" s="573"/>
      <c r="E208" s="572"/>
      <c r="F208" s="1056"/>
      <c r="H208" s="570"/>
      <c r="I208" s="570"/>
      <c r="J208" s="570"/>
      <c r="K208" s="570"/>
      <c r="L208" s="570"/>
      <c r="M208" s="570"/>
      <c r="N208" s="570"/>
      <c r="O208" s="570"/>
      <c r="P208" s="570"/>
      <c r="Q208" s="570"/>
      <c r="R208" s="570"/>
      <c r="S208" s="570"/>
      <c r="T208" s="570"/>
    </row>
    <row r="209" spans="1:20" s="569" customFormat="1" ht="15" customHeight="1">
      <c r="A209" s="571"/>
      <c r="B209" s="111"/>
      <c r="C209" s="572"/>
      <c r="D209" s="573"/>
      <c r="E209" s="572"/>
      <c r="F209" s="1056"/>
      <c r="H209" s="570"/>
      <c r="I209" s="570"/>
      <c r="J209" s="570"/>
      <c r="K209" s="570"/>
      <c r="L209" s="570"/>
      <c r="M209" s="570"/>
      <c r="N209" s="570"/>
      <c r="O209" s="570"/>
      <c r="P209" s="570"/>
      <c r="Q209" s="570"/>
      <c r="R209" s="570"/>
      <c r="S209" s="570"/>
      <c r="T209" s="570"/>
    </row>
    <row r="210" spans="1:20" s="569" customFormat="1" ht="15" customHeight="1">
      <c r="A210" s="571"/>
      <c r="B210" s="111"/>
      <c r="C210" s="572"/>
      <c r="D210" s="573"/>
      <c r="E210" s="572"/>
      <c r="F210" s="1056"/>
      <c r="H210" s="570"/>
      <c r="I210" s="570"/>
      <c r="J210" s="570"/>
      <c r="K210" s="570"/>
      <c r="L210" s="570"/>
      <c r="M210" s="570"/>
      <c r="N210" s="570"/>
      <c r="O210" s="570"/>
      <c r="P210" s="570"/>
      <c r="Q210" s="570"/>
      <c r="R210" s="570"/>
      <c r="S210" s="570"/>
      <c r="T210" s="570"/>
    </row>
    <row r="211" spans="1:20" s="569" customFormat="1" ht="15" customHeight="1">
      <c r="A211" s="571"/>
      <c r="B211" s="111"/>
      <c r="C211" s="572"/>
      <c r="D211" s="573"/>
      <c r="E211" s="572"/>
      <c r="F211" s="1056"/>
      <c r="H211" s="570"/>
      <c r="I211" s="570"/>
      <c r="J211" s="570"/>
      <c r="K211" s="570"/>
      <c r="L211" s="570"/>
      <c r="M211" s="570"/>
      <c r="N211" s="570"/>
      <c r="O211" s="570"/>
      <c r="P211" s="570"/>
      <c r="Q211" s="570"/>
      <c r="R211" s="570"/>
      <c r="S211" s="570"/>
      <c r="T211" s="570"/>
    </row>
    <row r="212" spans="1:20" s="569" customFormat="1" ht="15" customHeight="1">
      <c r="A212" s="571"/>
      <c r="B212" s="111"/>
      <c r="C212" s="572"/>
      <c r="D212" s="573"/>
      <c r="E212" s="572"/>
      <c r="F212" s="1056"/>
      <c r="H212" s="570"/>
      <c r="I212" s="570"/>
      <c r="J212" s="570"/>
      <c r="K212" s="570"/>
      <c r="L212" s="570"/>
      <c r="M212" s="570"/>
      <c r="N212" s="570"/>
      <c r="O212" s="570"/>
      <c r="P212" s="570"/>
      <c r="Q212" s="570"/>
      <c r="R212" s="570"/>
      <c r="S212" s="570"/>
      <c r="T212" s="570"/>
    </row>
    <row r="213" spans="1:20" s="569" customFormat="1" ht="15" customHeight="1">
      <c r="A213" s="571"/>
      <c r="B213" s="111"/>
      <c r="C213" s="572"/>
      <c r="D213" s="573"/>
      <c r="E213" s="572"/>
      <c r="F213" s="1056"/>
      <c r="H213" s="570"/>
      <c r="I213" s="570"/>
      <c r="J213" s="570"/>
      <c r="K213" s="570"/>
      <c r="L213" s="570"/>
      <c r="M213" s="570"/>
      <c r="N213" s="570"/>
      <c r="O213" s="570"/>
      <c r="P213" s="570"/>
      <c r="Q213" s="570"/>
      <c r="R213" s="570"/>
      <c r="S213" s="570"/>
      <c r="T213" s="570"/>
    </row>
    <row r="214" spans="1:20" s="569" customFormat="1" ht="15" customHeight="1">
      <c r="A214" s="571"/>
      <c r="B214" s="111"/>
      <c r="C214" s="572"/>
      <c r="D214" s="573"/>
      <c r="E214" s="572"/>
      <c r="F214" s="1056"/>
      <c r="H214" s="570"/>
      <c r="I214" s="570"/>
      <c r="J214" s="570"/>
      <c r="K214" s="570"/>
      <c r="L214" s="570"/>
      <c r="M214" s="570"/>
      <c r="N214" s="570"/>
      <c r="O214" s="570"/>
      <c r="P214" s="570"/>
      <c r="Q214" s="570"/>
      <c r="R214" s="570"/>
      <c r="S214" s="570"/>
      <c r="T214" s="570"/>
    </row>
    <row r="215" spans="1:20" s="569" customFormat="1" ht="15" customHeight="1">
      <c r="A215" s="571"/>
      <c r="B215" s="111"/>
      <c r="C215" s="572"/>
      <c r="D215" s="573"/>
      <c r="E215" s="572"/>
      <c r="F215" s="1056"/>
      <c r="H215" s="570"/>
      <c r="I215" s="570"/>
      <c r="J215" s="570"/>
      <c r="K215" s="570"/>
      <c r="L215" s="570"/>
      <c r="M215" s="570"/>
      <c r="N215" s="570"/>
      <c r="O215" s="570"/>
      <c r="P215" s="570"/>
      <c r="Q215" s="570"/>
      <c r="R215" s="570"/>
      <c r="S215" s="570"/>
      <c r="T215" s="570"/>
    </row>
    <row r="216" spans="1:20" s="569" customFormat="1" ht="15" customHeight="1">
      <c r="A216" s="571"/>
      <c r="B216" s="111"/>
      <c r="C216" s="572"/>
      <c r="D216" s="573"/>
      <c r="E216" s="572"/>
      <c r="F216" s="1056"/>
      <c r="H216" s="570"/>
      <c r="I216" s="570"/>
      <c r="J216" s="570"/>
      <c r="K216" s="570"/>
      <c r="L216" s="570"/>
      <c r="M216" s="570"/>
      <c r="N216" s="570"/>
      <c r="O216" s="570"/>
      <c r="P216" s="570"/>
      <c r="Q216" s="570"/>
      <c r="R216" s="570"/>
      <c r="S216" s="570"/>
      <c r="T216" s="570"/>
    </row>
    <row r="217" spans="1:20" s="569" customFormat="1" ht="15" customHeight="1">
      <c r="A217" s="571"/>
      <c r="B217" s="111"/>
      <c r="C217" s="572"/>
      <c r="D217" s="573"/>
      <c r="E217" s="572"/>
      <c r="F217" s="1056"/>
      <c r="H217" s="570"/>
      <c r="I217" s="570"/>
      <c r="J217" s="570"/>
      <c r="K217" s="570"/>
      <c r="L217" s="570"/>
      <c r="M217" s="570"/>
      <c r="N217" s="570"/>
      <c r="O217" s="570"/>
      <c r="P217" s="570"/>
      <c r="Q217" s="570"/>
      <c r="R217" s="570"/>
      <c r="S217" s="570"/>
      <c r="T217" s="570"/>
    </row>
    <row r="218" spans="1:20" s="569" customFormat="1" ht="15" customHeight="1">
      <c r="A218" s="571"/>
      <c r="B218" s="111"/>
      <c r="C218" s="572"/>
      <c r="D218" s="573"/>
      <c r="E218" s="572"/>
      <c r="F218" s="1056"/>
      <c r="H218" s="570"/>
      <c r="I218" s="570"/>
      <c r="J218" s="570"/>
      <c r="K218" s="570"/>
      <c r="L218" s="570"/>
      <c r="M218" s="570"/>
      <c r="N218" s="570"/>
      <c r="O218" s="570"/>
      <c r="P218" s="570"/>
      <c r="Q218" s="570"/>
      <c r="R218" s="570"/>
      <c r="S218" s="570"/>
      <c r="T218" s="570"/>
    </row>
    <row r="219" spans="1:20" s="569" customFormat="1" ht="15" customHeight="1">
      <c r="A219" s="571"/>
      <c r="B219" s="111"/>
      <c r="C219" s="572"/>
      <c r="D219" s="573"/>
      <c r="E219" s="572"/>
      <c r="F219" s="1056"/>
      <c r="H219" s="570"/>
      <c r="I219" s="570"/>
      <c r="J219" s="570"/>
      <c r="K219" s="570"/>
      <c r="L219" s="570"/>
      <c r="M219" s="570"/>
      <c r="N219" s="570"/>
      <c r="O219" s="570"/>
      <c r="P219" s="570"/>
      <c r="Q219" s="570"/>
      <c r="R219" s="570"/>
      <c r="S219" s="570"/>
      <c r="T219" s="570"/>
    </row>
    <row r="220" spans="1:20" s="569" customFormat="1" ht="15" customHeight="1">
      <c r="A220" s="571"/>
      <c r="B220" s="111"/>
      <c r="C220" s="572"/>
      <c r="D220" s="573"/>
      <c r="E220" s="572"/>
      <c r="F220" s="1056"/>
      <c r="H220" s="570"/>
      <c r="I220" s="570"/>
      <c r="J220" s="570"/>
      <c r="K220" s="570"/>
      <c r="L220" s="570"/>
      <c r="M220" s="570"/>
      <c r="N220" s="570"/>
      <c r="O220" s="570"/>
      <c r="P220" s="570"/>
      <c r="Q220" s="570"/>
      <c r="R220" s="570"/>
      <c r="S220" s="570"/>
      <c r="T220" s="570"/>
    </row>
    <row r="221" spans="1:20" s="569" customFormat="1" ht="15" customHeight="1">
      <c r="A221" s="571"/>
      <c r="B221" s="111"/>
      <c r="C221" s="572"/>
      <c r="D221" s="573"/>
      <c r="E221" s="572"/>
      <c r="F221" s="1056"/>
      <c r="H221" s="570"/>
      <c r="I221" s="570"/>
      <c r="J221" s="570"/>
      <c r="K221" s="570"/>
      <c r="L221" s="570"/>
      <c r="M221" s="570"/>
      <c r="N221" s="570"/>
      <c r="O221" s="570"/>
      <c r="P221" s="570"/>
      <c r="Q221" s="570"/>
      <c r="R221" s="570"/>
      <c r="S221" s="570"/>
      <c r="T221" s="570"/>
    </row>
    <row r="222" spans="1:20" s="569" customFormat="1" ht="15" customHeight="1">
      <c r="A222" s="571"/>
      <c r="B222" s="111"/>
      <c r="C222" s="572"/>
      <c r="D222" s="573"/>
      <c r="E222" s="572"/>
      <c r="F222" s="1056"/>
      <c r="H222" s="570"/>
      <c r="I222" s="570"/>
      <c r="J222" s="570"/>
      <c r="K222" s="570"/>
      <c r="L222" s="570"/>
      <c r="M222" s="570"/>
      <c r="N222" s="570"/>
      <c r="O222" s="570"/>
      <c r="P222" s="570"/>
      <c r="Q222" s="570"/>
      <c r="R222" s="570"/>
      <c r="S222" s="570"/>
      <c r="T222" s="570"/>
    </row>
    <row r="223" spans="1:20" s="569" customFormat="1" ht="15" customHeight="1">
      <c r="A223" s="571"/>
      <c r="B223" s="111"/>
      <c r="C223" s="572"/>
      <c r="D223" s="573"/>
      <c r="E223" s="572"/>
      <c r="F223" s="1056"/>
      <c r="H223" s="570"/>
      <c r="I223" s="570"/>
      <c r="J223" s="570"/>
      <c r="K223" s="570"/>
      <c r="L223" s="570"/>
      <c r="M223" s="570"/>
      <c r="N223" s="570"/>
      <c r="O223" s="570"/>
      <c r="P223" s="570"/>
      <c r="Q223" s="570"/>
      <c r="R223" s="570"/>
      <c r="S223" s="570"/>
      <c r="T223" s="570"/>
    </row>
    <row r="224" spans="1:20" s="569" customFormat="1" ht="15" customHeight="1">
      <c r="A224" s="571"/>
      <c r="B224" s="111"/>
      <c r="C224" s="572"/>
      <c r="D224" s="573"/>
      <c r="E224" s="572"/>
      <c r="F224" s="1056"/>
      <c r="H224" s="570"/>
      <c r="I224" s="570"/>
      <c r="J224" s="570"/>
      <c r="K224" s="570"/>
      <c r="L224" s="570"/>
      <c r="M224" s="570"/>
      <c r="N224" s="570"/>
      <c r="O224" s="570"/>
      <c r="P224" s="570"/>
      <c r="Q224" s="570"/>
      <c r="R224" s="570"/>
      <c r="S224" s="570"/>
      <c r="T224" s="570"/>
    </row>
    <row r="225" spans="1:20" s="569" customFormat="1" ht="15" customHeight="1">
      <c r="A225" s="571"/>
      <c r="B225" s="111"/>
      <c r="C225" s="572"/>
      <c r="D225" s="573"/>
      <c r="E225" s="572"/>
      <c r="F225" s="1056"/>
      <c r="H225" s="570"/>
      <c r="I225" s="570"/>
      <c r="J225" s="570"/>
      <c r="K225" s="570"/>
      <c r="L225" s="570"/>
      <c r="M225" s="570"/>
      <c r="N225" s="570"/>
      <c r="O225" s="570"/>
      <c r="P225" s="570"/>
      <c r="Q225" s="570"/>
      <c r="R225" s="570"/>
      <c r="S225" s="570"/>
      <c r="T225" s="570"/>
    </row>
    <row r="226" spans="1:20" s="569" customFormat="1" ht="15" customHeight="1">
      <c r="A226" s="571"/>
      <c r="B226" s="111"/>
      <c r="C226" s="572"/>
      <c r="D226" s="573"/>
      <c r="E226" s="572"/>
      <c r="F226" s="1056"/>
      <c r="H226" s="570"/>
      <c r="I226" s="570"/>
      <c r="J226" s="570"/>
      <c r="K226" s="570"/>
      <c r="L226" s="570"/>
      <c r="M226" s="570"/>
      <c r="N226" s="570"/>
      <c r="O226" s="570"/>
      <c r="P226" s="570"/>
      <c r="Q226" s="570"/>
      <c r="R226" s="570"/>
      <c r="S226" s="570"/>
      <c r="T226" s="570"/>
    </row>
    <row r="227" spans="1:20" s="569" customFormat="1" ht="15" customHeight="1">
      <c r="A227" s="571"/>
      <c r="B227" s="111"/>
      <c r="C227" s="572"/>
      <c r="D227" s="573"/>
      <c r="E227" s="572"/>
      <c r="F227" s="1056"/>
      <c r="H227" s="570"/>
      <c r="I227" s="570"/>
      <c r="J227" s="570"/>
      <c r="K227" s="570"/>
      <c r="L227" s="570"/>
      <c r="M227" s="570"/>
      <c r="N227" s="570"/>
      <c r="O227" s="570"/>
      <c r="P227" s="570"/>
      <c r="Q227" s="570"/>
      <c r="R227" s="570"/>
      <c r="S227" s="570"/>
      <c r="T227" s="570"/>
    </row>
    <row r="228" spans="1:20" s="569" customFormat="1" ht="15" customHeight="1">
      <c r="A228" s="571"/>
      <c r="B228" s="111"/>
      <c r="C228" s="572"/>
      <c r="D228" s="573"/>
      <c r="E228" s="572"/>
      <c r="F228" s="1056"/>
      <c r="H228" s="570"/>
      <c r="I228" s="570"/>
      <c r="J228" s="570"/>
      <c r="K228" s="570"/>
      <c r="L228" s="570"/>
      <c r="M228" s="570"/>
      <c r="N228" s="570"/>
      <c r="O228" s="570"/>
      <c r="P228" s="570"/>
      <c r="Q228" s="570"/>
      <c r="R228" s="570"/>
      <c r="S228" s="570"/>
      <c r="T228" s="570"/>
    </row>
    <row r="229" spans="1:20" s="569" customFormat="1" ht="15" customHeight="1">
      <c r="A229" s="571"/>
      <c r="B229" s="111"/>
      <c r="C229" s="572"/>
      <c r="D229" s="573"/>
      <c r="E229" s="572"/>
      <c r="F229" s="1056"/>
      <c r="H229" s="570"/>
      <c r="I229" s="570"/>
      <c r="J229" s="570"/>
      <c r="K229" s="570"/>
      <c r="L229" s="570"/>
      <c r="M229" s="570"/>
      <c r="N229" s="570"/>
      <c r="O229" s="570"/>
      <c r="P229" s="570"/>
      <c r="Q229" s="570"/>
      <c r="R229" s="570"/>
      <c r="S229" s="570"/>
      <c r="T229" s="570"/>
    </row>
    <row r="230" spans="1:20" s="569" customFormat="1" ht="15" customHeight="1">
      <c r="A230" s="571"/>
      <c r="B230" s="111"/>
      <c r="C230" s="572"/>
      <c r="D230" s="573"/>
      <c r="E230" s="572"/>
      <c r="F230" s="1056"/>
      <c r="H230" s="570"/>
      <c r="I230" s="570"/>
      <c r="J230" s="570"/>
      <c r="K230" s="570"/>
      <c r="L230" s="570"/>
      <c r="M230" s="570"/>
      <c r="N230" s="570"/>
      <c r="O230" s="570"/>
      <c r="P230" s="570"/>
      <c r="Q230" s="570"/>
      <c r="R230" s="570"/>
      <c r="S230" s="570"/>
      <c r="T230" s="570"/>
    </row>
    <row r="231" spans="1:20" s="569" customFormat="1" ht="15" customHeight="1">
      <c r="A231" s="571"/>
      <c r="B231" s="111"/>
      <c r="C231" s="572"/>
      <c r="D231" s="573"/>
      <c r="E231" s="572"/>
      <c r="F231" s="1056"/>
      <c r="H231" s="570"/>
      <c r="I231" s="570"/>
      <c r="J231" s="570"/>
      <c r="K231" s="570"/>
      <c r="L231" s="570"/>
      <c r="M231" s="570"/>
      <c r="N231" s="570"/>
      <c r="O231" s="570"/>
      <c r="P231" s="570"/>
      <c r="Q231" s="570"/>
      <c r="R231" s="570"/>
      <c r="S231" s="570"/>
      <c r="T231" s="570"/>
    </row>
    <row r="232" spans="1:20" s="569" customFormat="1" ht="15" customHeight="1">
      <c r="A232" s="571"/>
      <c r="B232" s="111"/>
      <c r="C232" s="572"/>
      <c r="D232" s="573"/>
      <c r="E232" s="572"/>
      <c r="F232" s="1056"/>
      <c r="H232" s="570"/>
      <c r="I232" s="570"/>
      <c r="J232" s="570"/>
      <c r="K232" s="570"/>
      <c r="L232" s="570"/>
      <c r="M232" s="570"/>
      <c r="N232" s="570"/>
      <c r="O232" s="570"/>
      <c r="P232" s="570"/>
      <c r="Q232" s="570"/>
      <c r="R232" s="570"/>
      <c r="S232" s="570"/>
      <c r="T232" s="570"/>
    </row>
    <row r="233" spans="1:20" s="569" customFormat="1" ht="15" customHeight="1">
      <c r="A233" s="571"/>
      <c r="B233" s="111"/>
      <c r="C233" s="572"/>
      <c r="D233" s="573"/>
      <c r="E233" s="572"/>
      <c r="F233" s="1056"/>
      <c r="H233" s="570"/>
      <c r="I233" s="570"/>
      <c r="J233" s="570"/>
      <c r="K233" s="570"/>
      <c r="L233" s="570"/>
      <c r="M233" s="570"/>
      <c r="N233" s="570"/>
      <c r="O233" s="570"/>
      <c r="P233" s="570"/>
      <c r="Q233" s="570"/>
      <c r="R233" s="570"/>
      <c r="S233" s="570"/>
      <c r="T233" s="570"/>
    </row>
    <row r="234" spans="1:20" s="569" customFormat="1" ht="15" customHeight="1">
      <c r="A234" s="571"/>
      <c r="B234" s="111"/>
      <c r="C234" s="572"/>
      <c r="D234" s="573"/>
      <c r="E234" s="572"/>
      <c r="F234" s="1056"/>
      <c r="H234" s="570"/>
      <c r="I234" s="570"/>
      <c r="J234" s="570"/>
      <c r="K234" s="570"/>
      <c r="L234" s="570"/>
      <c r="M234" s="570"/>
      <c r="N234" s="570"/>
      <c r="O234" s="570"/>
      <c r="P234" s="570"/>
      <c r="Q234" s="570"/>
      <c r="R234" s="570"/>
      <c r="S234" s="570"/>
      <c r="T234" s="570"/>
    </row>
    <row r="235" spans="1:20" s="569" customFormat="1" ht="15" customHeight="1">
      <c r="A235" s="571"/>
      <c r="B235" s="111"/>
      <c r="C235" s="572"/>
      <c r="D235" s="573"/>
      <c r="E235" s="572"/>
      <c r="F235" s="1056"/>
      <c r="H235" s="570"/>
      <c r="I235" s="570"/>
      <c r="J235" s="570"/>
      <c r="K235" s="570"/>
      <c r="L235" s="570"/>
      <c r="M235" s="570"/>
      <c r="N235" s="570"/>
      <c r="O235" s="570"/>
      <c r="P235" s="570"/>
      <c r="Q235" s="570"/>
      <c r="R235" s="570"/>
      <c r="S235" s="570"/>
      <c r="T235" s="570"/>
    </row>
    <row r="236" spans="1:20" s="569" customFormat="1" ht="15" customHeight="1">
      <c r="A236" s="571"/>
      <c r="B236" s="111"/>
      <c r="C236" s="572"/>
      <c r="D236" s="573"/>
      <c r="E236" s="572"/>
      <c r="F236" s="1056"/>
      <c r="H236" s="570"/>
      <c r="I236" s="570"/>
      <c r="J236" s="570"/>
      <c r="K236" s="570"/>
      <c r="L236" s="570"/>
      <c r="M236" s="570"/>
      <c r="N236" s="570"/>
      <c r="O236" s="570"/>
      <c r="P236" s="570"/>
      <c r="Q236" s="570"/>
      <c r="R236" s="570"/>
      <c r="S236" s="570"/>
      <c r="T236" s="570"/>
    </row>
    <row r="237" spans="1:20" s="569" customFormat="1" ht="15" customHeight="1">
      <c r="A237" s="571"/>
      <c r="B237" s="111"/>
      <c r="C237" s="572"/>
      <c r="D237" s="573"/>
      <c r="E237" s="572"/>
      <c r="F237" s="1056"/>
      <c r="H237" s="570"/>
      <c r="I237" s="570"/>
      <c r="J237" s="570"/>
      <c r="K237" s="570"/>
      <c r="L237" s="570"/>
      <c r="M237" s="570"/>
      <c r="N237" s="570"/>
      <c r="O237" s="570"/>
      <c r="P237" s="570"/>
      <c r="Q237" s="570"/>
      <c r="R237" s="570"/>
      <c r="S237" s="570"/>
      <c r="T237" s="570"/>
    </row>
    <row r="238" spans="1:20" s="569" customFormat="1" ht="15" customHeight="1">
      <c r="A238" s="571"/>
      <c r="B238" s="111"/>
      <c r="C238" s="572"/>
      <c r="D238" s="573"/>
      <c r="E238" s="572"/>
      <c r="F238" s="1056"/>
      <c r="H238" s="570"/>
      <c r="I238" s="570"/>
      <c r="J238" s="570"/>
      <c r="K238" s="570"/>
      <c r="L238" s="570"/>
      <c r="M238" s="570"/>
      <c r="N238" s="570"/>
      <c r="O238" s="570"/>
      <c r="P238" s="570"/>
      <c r="Q238" s="570"/>
      <c r="R238" s="570"/>
      <c r="S238" s="570"/>
      <c r="T238" s="570"/>
    </row>
    <row r="239" spans="1:20" s="569" customFormat="1" ht="15" customHeight="1">
      <c r="A239" s="571"/>
      <c r="B239" s="111"/>
      <c r="C239" s="572"/>
      <c r="D239" s="573"/>
      <c r="E239" s="572"/>
      <c r="F239" s="1056"/>
      <c r="H239" s="570"/>
      <c r="I239" s="570"/>
      <c r="J239" s="570"/>
      <c r="K239" s="570"/>
      <c r="L239" s="570"/>
      <c r="M239" s="570"/>
      <c r="N239" s="570"/>
      <c r="O239" s="570"/>
      <c r="P239" s="570"/>
      <c r="Q239" s="570"/>
      <c r="R239" s="570"/>
      <c r="S239" s="570"/>
      <c r="T239" s="570"/>
    </row>
    <row r="240" spans="1:20" s="569" customFormat="1" ht="15" customHeight="1">
      <c r="A240" s="571"/>
      <c r="B240" s="111"/>
      <c r="C240" s="572"/>
      <c r="D240" s="573"/>
      <c r="E240" s="572"/>
      <c r="F240" s="1056"/>
      <c r="H240" s="570"/>
      <c r="I240" s="570"/>
      <c r="J240" s="570"/>
      <c r="K240" s="570"/>
      <c r="L240" s="570"/>
      <c r="M240" s="570"/>
      <c r="N240" s="570"/>
      <c r="O240" s="570"/>
      <c r="P240" s="570"/>
      <c r="Q240" s="570"/>
      <c r="R240" s="570"/>
      <c r="S240" s="570"/>
      <c r="T240" s="570"/>
    </row>
    <row r="241" spans="1:20" s="569" customFormat="1" ht="15" customHeight="1">
      <c r="A241" s="571"/>
      <c r="B241" s="111"/>
      <c r="C241" s="572"/>
      <c r="D241" s="573"/>
      <c r="E241" s="572"/>
      <c r="F241" s="1056"/>
      <c r="H241" s="570"/>
      <c r="I241" s="570"/>
      <c r="J241" s="570"/>
      <c r="K241" s="570"/>
      <c r="L241" s="570"/>
      <c r="M241" s="570"/>
      <c r="N241" s="570"/>
      <c r="O241" s="570"/>
      <c r="P241" s="570"/>
      <c r="Q241" s="570"/>
      <c r="R241" s="570"/>
      <c r="S241" s="570"/>
      <c r="T241" s="570"/>
    </row>
    <row r="242" spans="1:20" s="569" customFormat="1" ht="15" customHeight="1">
      <c r="A242" s="571"/>
      <c r="B242" s="111"/>
      <c r="C242" s="572"/>
      <c r="D242" s="573"/>
      <c r="E242" s="572"/>
      <c r="F242" s="1056"/>
      <c r="H242" s="570"/>
      <c r="I242" s="570"/>
      <c r="J242" s="570"/>
      <c r="K242" s="570"/>
      <c r="L242" s="570"/>
      <c r="M242" s="570"/>
      <c r="N242" s="570"/>
      <c r="O242" s="570"/>
      <c r="P242" s="570"/>
      <c r="Q242" s="570"/>
      <c r="R242" s="570"/>
      <c r="S242" s="570"/>
      <c r="T242" s="570"/>
    </row>
    <row r="243" spans="1:20" s="569" customFormat="1" ht="15" customHeight="1">
      <c r="A243" s="571"/>
      <c r="B243" s="111"/>
      <c r="C243" s="572"/>
      <c r="D243" s="573"/>
      <c r="E243" s="572"/>
      <c r="F243" s="1056"/>
      <c r="H243" s="570"/>
      <c r="I243" s="570"/>
      <c r="J243" s="570"/>
      <c r="K243" s="570"/>
      <c r="L243" s="570"/>
      <c r="M243" s="570"/>
      <c r="N243" s="570"/>
      <c r="O243" s="570"/>
      <c r="P243" s="570"/>
      <c r="Q243" s="570"/>
      <c r="R243" s="570"/>
      <c r="S243" s="570"/>
      <c r="T243" s="570"/>
    </row>
    <row r="244" spans="1:20" s="569" customFormat="1" ht="15" customHeight="1">
      <c r="A244" s="571"/>
      <c r="B244" s="111"/>
      <c r="C244" s="572"/>
      <c r="D244" s="573"/>
      <c r="E244" s="572"/>
      <c r="F244" s="1056"/>
      <c r="H244" s="570"/>
      <c r="I244" s="570"/>
      <c r="J244" s="570"/>
      <c r="K244" s="570"/>
      <c r="L244" s="570"/>
      <c r="M244" s="570"/>
      <c r="N244" s="570"/>
      <c r="O244" s="570"/>
      <c r="P244" s="570"/>
      <c r="Q244" s="570"/>
      <c r="R244" s="570"/>
      <c r="S244" s="570"/>
      <c r="T244" s="570"/>
    </row>
    <row r="245" spans="1:20" s="569" customFormat="1" ht="15" customHeight="1">
      <c r="A245" s="571"/>
      <c r="B245" s="111"/>
      <c r="C245" s="572"/>
      <c r="D245" s="573"/>
      <c r="E245" s="572"/>
      <c r="F245" s="1056"/>
      <c r="H245" s="570"/>
      <c r="I245" s="570"/>
      <c r="J245" s="570"/>
      <c r="K245" s="570"/>
      <c r="L245" s="570"/>
      <c r="M245" s="570"/>
      <c r="N245" s="570"/>
      <c r="O245" s="570"/>
      <c r="P245" s="570"/>
      <c r="Q245" s="570"/>
      <c r="R245" s="570"/>
      <c r="S245" s="570"/>
      <c r="T245" s="570"/>
    </row>
    <row r="246" spans="1:20" s="569" customFormat="1" ht="15" customHeight="1">
      <c r="A246" s="571"/>
      <c r="B246" s="111"/>
      <c r="C246" s="572"/>
      <c r="D246" s="573"/>
      <c r="E246" s="572"/>
      <c r="F246" s="1056"/>
      <c r="H246" s="570"/>
      <c r="I246" s="570"/>
      <c r="J246" s="570"/>
      <c r="K246" s="570"/>
      <c r="L246" s="570"/>
      <c r="M246" s="570"/>
      <c r="N246" s="570"/>
      <c r="O246" s="570"/>
      <c r="P246" s="570"/>
      <c r="Q246" s="570"/>
      <c r="R246" s="570"/>
      <c r="S246" s="570"/>
      <c r="T246" s="570"/>
    </row>
    <row r="247" spans="1:20" s="569" customFormat="1" ht="15" customHeight="1">
      <c r="A247" s="571"/>
      <c r="B247" s="111"/>
      <c r="C247" s="572"/>
      <c r="D247" s="573"/>
      <c r="E247" s="572"/>
      <c r="F247" s="1056"/>
      <c r="H247" s="570"/>
      <c r="I247" s="570"/>
      <c r="J247" s="570"/>
      <c r="K247" s="570"/>
      <c r="L247" s="570"/>
      <c r="M247" s="570"/>
      <c r="N247" s="570"/>
      <c r="O247" s="570"/>
      <c r="P247" s="570"/>
      <c r="Q247" s="570"/>
      <c r="R247" s="570"/>
      <c r="S247" s="570"/>
      <c r="T247" s="570"/>
    </row>
    <row r="248" spans="1:20" s="569" customFormat="1" ht="15" customHeight="1">
      <c r="A248" s="571"/>
      <c r="B248" s="111"/>
      <c r="C248" s="572"/>
      <c r="D248" s="573"/>
      <c r="E248" s="572"/>
      <c r="F248" s="1056"/>
      <c r="H248" s="570"/>
      <c r="I248" s="570"/>
      <c r="J248" s="570"/>
      <c r="K248" s="570"/>
      <c r="L248" s="570"/>
      <c r="M248" s="570"/>
      <c r="N248" s="570"/>
      <c r="O248" s="570"/>
      <c r="P248" s="570"/>
      <c r="Q248" s="570"/>
      <c r="R248" s="570"/>
      <c r="S248" s="570"/>
      <c r="T248" s="570"/>
    </row>
    <row r="249" spans="1:20" s="569" customFormat="1" ht="15" customHeight="1">
      <c r="A249" s="571"/>
      <c r="B249" s="111"/>
      <c r="C249" s="572"/>
      <c r="D249" s="573"/>
      <c r="E249" s="572"/>
      <c r="F249" s="1056"/>
      <c r="H249" s="570"/>
      <c r="I249" s="570"/>
      <c r="J249" s="570"/>
      <c r="K249" s="570"/>
      <c r="L249" s="570"/>
      <c r="M249" s="570"/>
      <c r="N249" s="570"/>
      <c r="O249" s="570"/>
      <c r="P249" s="570"/>
      <c r="Q249" s="570"/>
      <c r="R249" s="570"/>
      <c r="S249" s="570"/>
      <c r="T249" s="570"/>
    </row>
    <row r="250" spans="1:20" s="569" customFormat="1" ht="15" customHeight="1">
      <c r="A250" s="571"/>
      <c r="B250" s="111"/>
      <c r="C250" s="572"/>
      <c r="D250" s="573"/>
      <c r="E250" s="572"/>
      <c r="F250" s="1056"/>
      <c r="H250" s="570"/>
      <c r="I250" s="570"/>
      <c r="J250" s="570"/>
      <c r="K250" s="570"/>
      <c r="L250" s="570"/>
      <c r="M250" s="570"/>
      <c r="N250" s="570"/>
      <c r="O250" s="570"/>
      <c r="P250" s="570"/>
      <c r="Q250" s="570"/>
      <c r="R250" s="570"/>
      <c r="S250" s="570"/>
      <c r="T250" s="570"/>
    </row>
    <row r="251" spans="1:20" s="569" customFormat="1" ht="15" customHeight="1">
      <c r="A251" s="571"/>
      <c r="B251" s="111"/>
      <c r="C251" s="572"/>
      <c r="D251" s="573"/>
      <c r="E251" s="572"/>
      <c r="F251" s="1056"/>
      <c r="H251" s="570"/>
      <c r="I251" s="570"/>
      <c r="J251" s="570"/>
      <c r="K251" s="570"/>
      <c r="L251" s="570"/>
      <c r="M251" s="570"/>
      <c r="N251" s="570"/>
      <c r="O251" s="570"/>
      <c r="P251" s="570"/>
      <c r="Q251" s="570"/>
      <c r="R251" s="570"/>
      <c r="S251" s="570"/>
      <c r="T251" s="570"/>
    </row>
    <row r="252" spans="1:20" s="569" customFormat="1" ht="15" customHeight="1">
      <c r="A252" s="571"/>
      <c r="B252" s="111"/>
      <c r="C252" s="572"/>
      <c r="D252" s="573"/>
      <c r="E252" s="572"/>
      <c r="F252" s="1056"/>
      <c r="H252" s="570"/>
      <c r="I252" s="570"/>
      <c r="J252" s="570"/>
      <c r="K252" s="570"/>
      <c r="L252" s="570"/>
      <c r="M252" s="570"/>
      <c r="N252" s="570"/>
      <c r="O252" s="570"/>
      <c r="P252" s="570"/>
      <c r="Q252" s="570"/>
      <c r="R252" s="570"/>
      <c r="S252" s="570"/>
      <c r="T252" s="570"/>
    </row>
    <row r="253" spans="1:20" s="569" customFormat="1" ht="15" customHeight="1">
      <c r="A253" s="571"/>
      <c r="B253" s="111"/>
      <c r="C253" s="572"/>
      <c r="D253" s="573"/>
      <c r="E253" s="572"/>
      <c r="F253" s="1056"/>
      <c r="H253" s="570"/>
      <c r="I253" s="570"/>
      <c r="J253" s="570"/>
      <c r="K253" s="570"/>
      <c r="L253" s="570"/>
      <c r="M253" s="570"/>
      <c r="N253" s="570"/>
      <c r="O253" s="570"/>
      <c r="P253" s="570"/>
      <c r="Q253" s="570"/>
      <c r="R253" s="570"/>
      <c r="S253" s="570"/>
      <c r="T253" s="570"/>
    </row>
    <row r="254" spans="1:20" s="569" customFormat="1" ht="15" customHeight="1">
      <c r="A254" s="571"/>
      <c r="B254" s="111"/>
      <c r="C254" s="572"/>
      <c r="D254" s="573"/>
      <c r="E254" s="572"/>
      <c r="F254" s="1056"/>
      <c r="H254" s="570"/>
      <c r="I254" s="570"/>
      <c r="J254" s="570"/>
      <c r="K254" s="570"/>
      <c r="L254" s="570"/>
      <c r="M254" s="570"/>
      <c r="N254" s="570"/>
      <c r="O254" s="570"/>
      <c r="P254" s="570"/>
      <c r="Q254" s="570"/>
      <c r="R254" s="570"/>
      <c r="S254" s="570"/>
      <c r="T254" s="570"/>
    </row>
    <row r="255" spans="1:20" s="569" customFormat="1" ht="15" customHeight="1">
      <c r="A255" s="571"/>
      <c r="B255" s="111"/>
      <c r="C255" s="572"/>
      <c r="D255" s="573"/>
      <c r="E255" s="572"/>
      <c r="F255" s="1056"/>
      <c r="H255" s="570"/>
      <c r="I255" s="570"/>
      <c r="J255" s="570"/>
      <c r="K255" s="570"/>
      <c r="L255" s="570"/>
      <c r="M255" s="570"/>
      <c r="N255" s="570"/>
      <c r="O255" s="570"/>
      <c r="P255" s="570"/>
      <c r="Q255" s="570"/>
      <c r="R255" s="570"/>
      <c r="S255" s="570"/>
      <c r="T255" s="570"/>
    </row>
    <row r="256" spans="1:20" s="569" customFormat="1" ht="15" customHeight="1">
      <c r="A256" s="571"/>
      <c r="B256" s="111"/>
      <c r="C256" s="572"/>
      <c r="D256" s="573"/>
      <c r="E256" s="572"/>
      <c r="F256" s="1056"/>
      <c r="H256" s="570"/>
      <c r="I256" s="570"/>
      <c r="J256" s="570"/>
      <c r="K256" s="570"/>
      <c r="L256" s="570"/>
      <c r="M256" s="570"/>
      <c r="N256" s="570"/>
      <c r="O256" s="570"/>
      <c r="P256" s="570"/>
      <c r="Q256" s="570"/>
      <c r="R256" s="570"/>
      <c r="S256" s="570"/>
      <c r="T256" s="570"/>
    </row>
    <row r="257" spans="1:20" s="569" customFormat="1" ht="15" customHeight="1">
      <c r="A257" s="571"/>
      <c r="B257" s="111"/>
      <c r="C257" s="572"/>
      <c r="D257" s="573"/>
      <c r="E257" s="572"/>
      <c r="F257" s="1056"/>
      <c r="H257" s="570"/>
      <c r="I257" s="570"/>
      <c r="J257" s="570"/>
      <c r="K257" s="570"/>
      <c r="L257" s="570"/>
      <c r="M257" s="570"/>
      <c r="N257" s="570"/>
      <c r="O257" s="570"/>
      <c r="P257" s="570"/>
      <c r="Q257" s="570"/>
      <c r="R257" s="570"/>
      <c r="S257" s="570"/>
      <c r="T257" s="570"/>
    </row>
    <row r="258" spans="1:20" s="569" customFormat="1" ht="15" customHeight="1">
      <c r="A258" s="571"/>
      <c r="B258" s="111"/>
      <c r="C258" s="572"/>
      <c r="D258" s="573"/>
      <c r="E258" s="572"/>
      <c r="F258" s="1056"/>
      <c r="H258" s="570"/>
      <c r="I258" s="570"/>
      <c r="J258" s="570"/>
      <c r="K258" s="570"/>
      <c r="L258" s="570"/>
      <c r="M258" s="570"/>
      <c r="N258" s="570"/>
      <c r="O258" s="570"/>
      <c r="P258" s="570"/>
      <c r="Q258" s="570"/>
      <c r="R258" s="570"/>
      <c r="S258" s="570"/>
      <c r="T258" s="570"/>
    </row>
    <row r="259" spans="1:20" s="569" customFormat="1" ht="15" customHeight="1">
      <c r="A259" s="571"/>
      <c r="B259" s="111"/>
      <c r="C259" s="572"/>
      <c r="D259" s="573"/>
      <c r="E259" s="572"/>
      <c r="F259" s="1056"/>
      <c r="H259" s="570"/>
      <c r="I259" s="570"/>
      <c r="J259" s="570"/>
      <c r="K259" s="570"/>
      <c r="L259" s="570"/>
      <c r="M259" s="570"/>
      <c r="N259" s="570"/>
      <c r="O259" s="570"/>
      <c r="P259" s="570"/>
      <c r="Q259" s="570"/>
      <c r="R259" s="570"/>
      <c r="S259" s="570"/>
      <c r="T259" s="570"/>
    </row>
    <row r="260" spans="1:20" s="569" customFormat="1" ht="15" customHeight="1">
      <c r="A260" s="571"/>
      <c r="B260" s="111"/>
      <c r="C260" s="572"/>
      <c r="D260" s="573"/>
      <c r="E260" s="572"/>
      <c r="F260" s="1056"/>
      <c r="H260" s="570"/>
      <c r="I260" s="570"/>
      <c r="J260" s="570"/>
      <c r="K260" s="570"/>
      <c r="L260" s="570"/>
      <c r="M260" s="570"/>
      <c r="N260" s="570"/>
      <c r="O260" s="570"/>
      <c r="P260" s="570"/>
      <c r="Q260" s="570"/>
      <c r="R260" s="570"/>
      <c r="S260" s="570"/>
      <c r="T260" s="570"/>
    </row>
    <row r="261" spans="1:20" s="569" customFormat="1" ht="15" customHeight="1">
      <c r="A261" s="571"/>
      <c r="B261" s="111"/>
      <c r="C261" s="572"/>
      <c r="D261" s="573"/>
      <c r="E261" s="572"/>
      <c r="F261" s="1056"/>
      <c r="H261" s="570"/>
      <c r="I261" s="570"/>
      <c r="J261" s="570"/>
      <c r="K261" s="570"/>
      <c r="L261" s="570"/>
      <c r="M261" s="570"/>
      <c r="N261" s="570"/>
      <c r="O261" s="570"/>
      <c r="P261" s="570"/>
      <c r="Q261" s="570"/>
      <c r="R261" s="570"/>
      <c r="S261" s="570"/>
      <c r="T261" s="570"/>
    </row>
    <row r="262" spans="1:20" s="569" customFormat="1" ht="15" customHeight="1">
      <c r="A262" s="571"/>
      <c r="B262" s="111"/>
      <c r="C262" s="572"/>
      <c r="D262" s="573"/>
      <c r="E262" s="572"/>
      <c r="F262" s="1056"/>
      <c r="H262" s="570"/>
      <c r="I262" s="570"/>
      <c r="J262" s="570"/>
      <c r="K262" s="570"/>
      <c r="L262" s="570"/>
      <c r="M262" s="570"/>
      <c r="N262" s="570"/>
      <c r="O262" s="570"/>
      <c r="P262" s="570"/>
      <c r="Q262" s="570"/>
      <c r="R262" s="570"/>
      <c r="S262" s="570"/>
      <c r="T262" s="570"/>
    </row>
    <row r="263" spans="1:20" s="569" customFormat="1" ht="15" customHeight="1">
      <c r="A263" s="571"/>
      <c r="B263" s="111"/>
      <c r="C263" s="572"/>
      <c r="D263" s="573"/>
      <c r="E263" s="572"/>
      <c r="F263" s="1056"/>
      <c r="H263" s="570"/>
      <c r="I263" s="570"/>
      <c r="J263" s="570"/>
      <c r="K263" s="570"/>
      <c r="L263" s="570"/>
      <c r="M263" s="570"/>
      <c r="N263" s="570"/>
      <c r="O263" s="570"/>
      <c r="P263" s="570"/>
      <c r="Q263" s="570"/>
      <c r="R263" s="570"/>
      <c r="S263" s="570"/>
      <c r="T263" s="570"/>
    </row>
    <row r="264" spans="1:20" s="569" customFormat="1" ht="15" customHeight="1">
      <c r="A264" s="571"/>
      <c r="B264" s="111"/>
      <c r="C264" s="572"/>
      <c r="D264" s="573"/>
      <c r="E264" s="572"/>
      <c r="F264" s="1056"/>
      <c r="H264" s="570"/>
      <c r="I264" s="570"/>
      <c r="J264" s="570"/>
      <c r="K264" s="570"/>
      <c r="L264" s="570"/>
      <c r="M264" s="570"/>
      <c r="N264" s="570"/>
      <c r="O264" s="570"/>
      <c r="P264" s="570"/>
      <c r="Q264" s="570"/>
      <c r="R264" s="570"/>
      <c r="S264" s="570"/>
      <c r="T264" s="570"/>
    </row>
    <row r="265" spans="1:20" s="569" customFormat="1" ht="15" customHeight="1">
      <c r="A265" s="571"/>
      <c r="B265" s="111"/>
      <c r="C265" s="572"/>
      <c r="D265" s="573"/>
      <c r="E265" s="572"/>
      <c r="F265" s="1056"/>
      <c r="H265" s="570"/>
      <c r="I265" s="570"/>
      <c r="J265" s="570"/>
      <c r="K265" s="570"/>
      <c r="L265" s="570"/>
      <c r="M265" s="570"/>
      <c r="N265" s="570"/>
      <c r="O265" s="570"/>
      <c r="P265" s="570"/>
      <c r="Q265" s="570"/>
      <c r="R265" s="570"/>
      <c r="S265" s="570"/>
      <c r="T265" s="570"/>
    </row>
    <row r="266" spans="1:20" s="569" customFormat="1" ht="15" customHeight="1">
      <c r="A266" s="571"/>
      <c r="B266" s="111"/>
      <c r="C266" s="572"/>
      <c r="D266" s="573"/>
      <c r="E266" s="572"/>
      <c r="F266" s="1056"/>
      <c r="H266" s="570"/>
      <c r="I266" s="570"/>
      <c r="J266" s="570"/>
      <c r="K266" s="570"/>
      <c r="L266" s="570"/>
      <c r="M266" s="570"/>
      <c r="N266" s="570"/>
      <c r="O266" s="570"/>
      <c r="P266" s="570"/>
      <c r="Q266" s="570"/>
      <c r="R266" s="570"/>
      <c r="S266" s="570"/>
      <c r="T266" s="570"/>
    </row>
    <row r="267" spans="1:20" s="569" customFormat="1" ht="15" customHeight="1">
      <c r="A267" s="571"/>
      <c r="B267" s="111"/>
      <c r="C267" s="572"/>
      <c r="D267" s="573"/>
      <c r="E267" s="572"/>
      <c r="F267" s="1056"/>
      <c r="H267" s="570"/>
      <c r="I267" s="570"/>
      <c r="J267" s="570"/>
      <c r="K267" s="570"/>
      <c r="L267" s="570"/>
      <c r="M267" s="570"/>
      <c r="N267" s="570"/>
      <c r="O267" s="570"/>
      <c r="P267" s="570"/>
      <c r="Q267" s="570"/>
      <c r="R267" s="570"/>
      <c r="S267" s="570"/>
      <c r="T267" s="570"/>
    </row>
    <row r="268" spans="1:20" s="569" customFormat="1" ht="15" customHeight="1">
      <c r="A268" s="571"/>
      <c r="B268" s="111"/>
      <c r="C268" s="572"/>
      <c r="D268" s="573"/>
      <c r="E268" s="572"/>
      <c r="F268" s="1056"/>
      <c r="H268" s="570"/>
      <c r="I268" s="570"/>
      <c r="J268" s="570"/>
      <c r="K268" s="570"/>
      <c r="L268" s="570"/>
      <c r="M268" s="570"/>
      <c r="N268" s="570"/>
      <c r="O268" s="570"/>
      <c r="P268" s="570"/>
      <c r="Q268" s="570"/>
      <c r="R268" s="570"/>
      <c r="S268" s="570"/>
      <c r="T268" s="570"/>
    </row>
    <row r="269" spans="1:20" s="569" customFormat="1" ht="15" customHeight="1">
      <c r="A269" s="571"/>
      <c r="B269" s="111"/>
      <c r="C269" s="572"/>
      <c r="D269" s="573"/>
      <c r="E269" s="572"/>
      <c r="F269" s="1056"/>
      <c r="H269" s="570"/>
      <c r="I269" s="570"/>
      <c r="J269" s="570"/>
      <c r="K269" s="570"/>
      <c r="L269" s="570"/>
      <c r="M269" s="570"/>
      <c r="N269" s="570"/>
      <c r="O269" s="570"/>
      <c r="P269" s="570"/>
      <c r="Q269" s="570"/>
      <c r="R269" s="570"/>
      <c r="S269" s="570"/>
      <c r="T269" s="570"/>
    </row>
    <row r="270" spans="1:20" s="569" customFormat="1" ht="15" customHeight="1">
      <c r="A270" s="571"/>
      <c r="B270" s="111"/>
      <c r="C270" s="572"/>
      <c r="D270" s="573"/>
      <c r="E270" s="572"/>
      <c r="F270" s="1056"/>
      <c r="H270" s="570"/>
      <c r="I270" s="570"/>
      <c r="J270" s="570"/>
      <c r="K270" s="570"/>
      <c r="L270" s="570"/>
      <c r="M270" s="570"/>
      <c r="N270" s="570"/>
      <c r="O270" s="570"/>
      <c r="P270" s="570"/>
      <c r="Q270" s="570"/>
      <c r="R270" s="570"/>
      <c r="S270" s="570"/>
      <c r="T270" s="570"/>
    </row>
    <row r="271" spans="1:20" s="569" customFormat="1" ht="15" customHeight="1">
      <c r="A271" s="571"/>
      <c r="B271" s="111"/>
      <c r="C271" s="572"/>
      <c r="D271" s="573"/>
      <c r="E271" s="572"/>
      <c r="F271" s="1056"/>
      <c r="H271" s="570"/>
      <c r="I271" s="570"/>
      <c r="J271" s="570"/>
      <c r="K271" s="570"/>
      <c r="L271" s="570"/>
      <c r="M271" s="570"/>
      <c r="N271" s="570"/>
      <c r="O271" s="570"/>
      <c r="P271" s="570"/>
      <c r="Q271" s="570"/>
      <c r="R271" s="570"/>
      <c r="S271" s="570"/>
      <c r="T271" s="570"/>
    </row>
    <row r="272" spans="1:20" s="569" customFormat="1" ht="15" customHeight="1">
      <c r="A272" s="571"/>
      <c r="B272" s="111"/>
      <c r="C272" s="572"/>
      <c r="D272" s="573"/>
      <c r="E272" s="572"/>
      <c r="F272" s="1056"/>
      <c r="H272" s="570"/>
      <c r="I272" s="570"/>
      <c r="J272" s="570"/>
      <c r="K272" s="570"/>
      <c r="L272" s="570"/>
      <c r="M272" s="570"/>
      <c r="N272" s="570"/>
      <c r="O272" s="570"/>
      <c r="P272" s="570"/>
      <c r="Q272" s="570"/>
      <c r="R272" s="570"/>
      <c r="S272" s="570"/>
      <c r="T272" s="570"/>
    </row>
    <row r="273" spans="1:20" s="569" customFormat="1" ht="15" customHeight="1">
      <c r="A273" s="571"/>
      <c r="B273" s="111"/>
      <c r="C273" s="572"/>
      <c r="D273" s="573"/>
      <c r="E273" s="572"/>
      <c r="F273" s="1056"/>
      <c r="H273" s="570"/>
      <c r="I273" s="570"/>
      <c r="J273" s="570"/>
      <c r="K273" s="570"/>
      <c r="L273" s="570"/>
      <c r="M273" s="570"/>
      <c r="N273" s="570"/>
      <c r="O273" s="570"/>
      <c r="P273" s="570"/>
      <c r="Q273" s="570"/>
      <c r="R273" s="570"/>
      <c r="S273" s="570"/>
      <c r="T273" s="570"/>
    </row>
    <row r="274" spans="1:20" s="569" customFormat="1" ht="15" customHeight="1">
      <c r="A274" s="571"/>
      <c r="B274" s="111"/>
      <c r="C274" s="572"/>
      <c r="D274" s="573"/>
      <c r="E274" s="572"/>
      <c r="F274" s="1056"/>
      <c r="H274" s="570"/>
      <c r="I274" s="570"/>
      <c r="J274" s="570"/>
      <c r="K274" s="570"/>
      <c r="L274" s="570"/>
      <c r="M274" s="570"/>
      <c r="N274" s="570"/>
      <c r="O274" s="570"/>
      <c r="P274" s="570"/>
      <c r="Q274" s="570"/>
      <c r="R274" s="570"/>
      <c r="S274" s="570"/>
      <c r="T274" s="570"/>
    </row>
    <row r="275" spans="1:20" s="569" customFormat="1" ht="15" customHeight="1">
      <c r="A275" s="571"/>
      <c r="B275" s="111"/>
      <c r="C275" s="572"/>
      <c r="D275" s="573"/>
      <c r="E275" s="572"/>
      <c r="F275" s="1056"/>
      <c r="H275" s="570"/>
      <c r="I275" s="570"/>
      <c r="J275" s="570"/>
      <c r="K275" s="570"/>
      <c r="L275" s="570"/>
      <c r="M275" s="570"/>
      <c r="N275" s="570"/>
      <c r="O275" s="570"/>
      <c r="P275" s="570"/>
      <c r="Q275" s="570"/>
      <c r="R275" s="570"/>
      <c r="S275" s="570"/>
      <c r="T275" s="570"/>
    </row>
    <row r="276" spans="1:20" s="569" customFormat="1" ht="15" customHeight="1">
      <c r="A276" s="571"/>
      <c r="B276" s="111"/>
      <c r="C276" s="572"/>
      <c r="D276" s="573"/>
      <c r="E276" s="572"/>
      <c r="F276" s="1056"/>
      <c r="H276" s="570"/>
      <c r="I276" s="570"/>
      <c r="J276" s="570"/>
      <c r="K276" s="570"/>
      <c r="L276" s="570"/>
      <c r="M276" s="570"/>
      <c r="N276" s="570"/>
      <c r="O276" s="570"/>
      <c r="P276" s="570"/>
      <c r="Q276" s="570"/>
      <c r="R276" s="570"/>
      <c r="S276" s="570"/>
      <c r="T276" s="570"/>
    </row>
    <row r="277" spans="1:20" s="569" customFormat="1" ht="15" customHeight="1">
      <c r="A277" s="571"/>
      <c r="B277" s="111"/>
      <c r="C277" s="572"/>
      <c r="D277" s="573"/>
      <c r="E277" s="572"/>
      <c r="F277" s="1056"/>
      <c r="H277" s="570"/>
      <c r="I277" s="570"/>
      <c r="J277" s="570"/>
      <c r="K277" s="570"/>
      <c r="L277" s="570"/>
      <c r="M277" s="570"/>
      <c r="N277" s="570"/>
      <c r="O277" s="570"/>
      <c r="P277" s="570"/>
      <c r="Q277" s="570"/>
      <c r="R277" s="570"/>
      <c r="S277" s="570"/>
      <c r="T277" s="570"/>
    </row>
    <row r="278" spans="1:20" s="569" customFormat="1" ht="15" customHeight="1">
      <c r="A278" s="571"/>
      <c r="B278" s="111"/>
      <c r="C278" s="572"/>
      <c r="D278" s="573"/>
      <c r="E278" s="572"/>
      <c r="F278" s="1056"/>
      <c r="H278" s="570"/>
      <c r="I278" s="570"/>
      <c r="J278" s="570"/>
      <c r="K278" s="570"/>
      <c r="L278" s="570"/>
      <c r="M278" s="570"/>
      <c r="N278" s="570"/>
      <c r="O278" s="570"/>
      <c r="P278" s="570"/>
      <c r="Q278" s="570"/>
      <c r="R278" s="570"/>
      <c r="S278" s="570"/>
      <c r="T278" s="570"/>
    </row>
    <row r="279" spans="1:20" s="569" customFormat="1" ht="15" customHeight="1">
      <c r="A279" s="571"/>
      <c r="B279" s="111"/>
      <c r="C279" s="572"/>
      <c r="D279" s="573"/>
      <c r="E279" s="572"/>
      <c r="F279" s="1056"/>
      <c r="H279" s="570"/>
      <c r="I279" s="570"/>
      <c r="J279" s="570"/>
      <c r="K279" s="570"/>
      <c r="L279" s="570"/>
      <c r="M279" s="570"/>
      <c r="N279" s="570"/>
      <c r="O279" s="570"/>
      <c r="P279" s="570"/>
      <c r="Q279" s="570"/>
      <c r="R279" s="570"/>
      <c r="S279" s="570"/>
      <c r="T279" s="570"/>
    </row>
    <row r="280" spans="1:20" s="569" customFormat="1" ht="15" customHeight="1">
      <c r="A280" s="571"/>
      <c r="B280" s="111"/>
      <c r="C280" s="572"/>
      <c r="D280" s="573"/>
      <c r="E280" s="572"/>
      <c r="F280" s="1056"/>
      <c r="H280" s="570"/>
      <c r="I280" s="570"/>
      <c r="J280" s="570"/>
      <c r="K280" s="570"/>
      <c r="L280" s="570"/>
      <c r="M280" s="570"/>
      <c r="N280" s="570"/>
      <c r="O280" s="570"/>
      <c r="P280" s="570"/>
      <c r="Q280" s="570"/>
      <c r="R280" s="570"/>
      <c r="S280" s="570"/>
      <c r="T280" s="570"/>
    </row>
    <row r="281" spans="1:20" s="569" customFormat="1" ht="15" customHeight="1">
      <c r="A281" s="571"/>
      <c r="B281" s="111"/>
      <c r="C281" s="572"/>
      <c r="D281" s="573"/>
      <c r="E281" s="572"/>
      <c r="F281" s="1056"/>
      <c r="H281" s="570"/>
      <c r="I281" s="570"/>
      <c r="J281" s="570"/>
      <c r="K281" s="570"/>
      <c r="L281" s="570"/>
      <c r="M281" s="570"/>
      <c r="N281" s="570"/>
      <c r="O281" s="570"/>
      <c r="P281" s="570"/>
      <c r="Q281" s="570"/>
      <c r="R281" s="570"/>
      <c r="S281" s="570"/>
      <c r="T281" s="570"/>
    </row>
    <row r="282" spans="1:20" s="569" customFormat="1" ht="15" customHeight="1">
      <c r="A282" s="571"/>
      <c r="B282" s="111"/>
      <c r="C282" s="572"/>
      <c r="D282" s="573"/>
      <c r="E282" s="572"/>
      <c r="F282" s="1056"/>
      <c r="H282" s="570"/>
      <c r="I282" s="570"/>
      <c r="J282" s="570"/>
      <c r="K282" s="570"/>
      <c r="L282" s="570"/>
      <c r="M282" s="570"/>
      <c r="N282" s="570"/>
      <c r="O282" s="570"/>
      <c r="P282" s="570"/>
      <c r="Q282" s="570"/>
      <c r="R282" s="570"/>
      <c r="S282" s="570"/>
      <c r="T282" s="570"/>
    </row>
    <row r="283" spans="1:20" s="569" customFormat="1" ht="15" customHeight="1">
      <c r="A283" s="571"/>
      <c r="B283" s="111"/>
      <c r="C283" s="572"/>
      <c r="D283" s="573"/>
      <c r="E283" s="572"/>
      <c r="F283" s="1056"/>
      <c r="H283" s="570"/>
      <c r="I283" s="570"/>
      <c r="J283" s="570"/>
      <c r="K283" s="570"/>
      <c r="L283" s="570"/>
      <c r="M283" s="570"/>
      <c r="N283" s="570"/>
      <c r="O283" s="570"/>
      <c r="P283" s="570"/>
      <c r="Q283" s="570"/>
      <c r="R283" s="570"/>
      <c r="S283" s="570"/>
      <c r="T283" s="570"/>
    </row>
    <row r="284" spans="1:20" s="569" customFormat="1" ht="15" customHeight="1">
      <c r="A284" s="571"/>
      <c r="B284" s="111"/>
      <c r="C284" s="572"/>
      <c r="D284" s="573"/>
      <c r="E284" s="572"/>
      <c r="F284" s="1056"/>
      <c r="H284" s="570"/>
      <c r="I284" s="570"/>
      <c r="J284" s="570"/>
      <c r="K284" s="570"/>
      <c r="L284" s="570"/>
      <c r="M284" s="570"/>
      <c r="N284" s="570"/>
      <c r="O284" s="570"/>
      <c r="P284" s="570"/>
      <c r="Q284" s="570"/>
      <c r="R284" s="570"/>
      <c r="S284" s="570"/>
      <c r="T284" s="570"/>
    </row>
    <row r="285" spans="1:20" s="569" customFormat="1" ht="15" customHeight="1">
      <c r="A285" s="571"/>
      <c r="B285" s="111"/>
      <c r="C285" s="572"/>
      <c r="D285" s="573"/>
      <c r="E285" s="572"/>
      <c r="F285" s="1056"/>
      <c r="H285" s="570"/>
      <c r="I285" s="570"/>
      <c r="J285" s="570"/>
      <c r="K285" s="570"/>
      <c r="L285" s="570"/>
      <c r="M285" s="570"/>
      <c r="N285" s="570"/>
      <c r="O285" s="570"/>
      <c r="P285" s="570"/>
      <c r="Q285" s="570"/>
      <c r="R285" s="570"/>
      <c r="S285" s="570"/>
      <c r="T285" s="570"/>
    </row>
    <row r="286" spans="1:20" s="569" customFormat="1" ht="15" customHeight="1">
      <c r="A286" s="571"/>
      <c r="B286" s="111"/>
      <c r="C286" s="572"/>
      <c r="D286" s="573"/>
      <c r="E286" s="572"/>
      <c r="F286" s="1056"/>
      <c r="H286" s="570"/>
      <c r="I286" s="570"/>
      <c r="J286" s="570"/>
      <c r="K286" s="570"/>
      <c r="L286" s="570"/>
      <c r="M286" s="570"/>
      <c r="N286" s="570"/>
      <c r="O286" s="570"/>
      <c r="P286" s="570"/>
      <c r="Q286" s="570"/>
      <c r="R286" s="570"/>
      <c r="S286" s="570"/>
      <c r="T286" s="570"/>
    </row>
    <row r="287" spans="1:20" s="569" customFormat="1" ht="15" customHeight="1">
      <c r="A287" s="571"/>
      <c r="B287" s="111"/>
      <c r="C287" s="572"/>
      <c r="D287" s="573"/>
      <c r="E287" s="572"/>
      <c r="F287" s="1056"/>
      <c r="H287" s="570"/>
      <c r="I287" s="570"/>
      <c r="J287" s="570"/>
      <c r="K287" s="570"/>
      <c r="L287" s="570"/>
      <c r="M287" s="570"/>
      <c r="N287" s="570"/>
      <c r="O287" s="570"/>
      <c r="P287" s="570"/>
      <c r="Q287" s="570"/>
      <c r="R287" s="570"/>
      <c r="S287" s="570"/>
      <c r="T287" s="570"/>
    </row>
    <row r="288" spans="1:20" s="569" customFormat="1" ht="15" customHeight="1">
      <c r="A288" s="571"/>
      <c r="B288" s="111"/>
      <c r="C288" s="572"/>
      <c r="D288" s="573"/>
      <c r="E288" s="572"/>
      <c r="F288" s="1056"/>
      <c r="H288" s="570"/>
      <c r="I288" s="570"/>
      <c r="J288" s="570"/>
      <c r="K288" s="570"/>
      <c r="L288" s="570"/>
      <c r="M288" s="570"/>
      <c r="N288" s="570"/>
      <c r="O288" s="570"/>
      <c r="P288" s="570"/>
      <c r="Q288" s="570"/>
      <c r="R288" s="570"/>
      <c r="S288" s="570"/>
      <c r="T288" s="570"/>
    </row>
    <row r="289" spans="1:20" s="569" customFormat="1" ht="15" customHeight="1">
      <c r="A289" s="571"/>
      <c r="B289" s="111"/>
      <c r="C289" s="572"/>
      <c r="D289" s="573"/>
      <c r="E289" s="572"/>
      <c r="F289" s="1056"/>
      <c r="H289" s="570"/>
      <c r="I289" s="570"/>
      <c r="J289" s="570"/>
      <c r="K289" s="570"/>
      <c r="L289" s="570"/>
      <c r="M289" s="570"/>
      <c r="N289" s="570"/>
      <c r="O289" s="570"/>
      <c r="P289" s="570"/>
      <c r="Q289" s="570"/>
      <c r="R289" s="570"/>
      <c r="S289" s="570"/>
      <c r="T289" s="570"/>
    </row>
    <row r="290" spans="1:20" s="569" customFormat="1" ht="15" customHeight="1">
      <c r="A290" s="571"/>
      <c r="B290" s="111"/>
      <c r="C290" s="572"/>
      <c r="D290" s="573"/>
      <c r="E290" s="572"/>
      <c r="F290" s="1056"/>
      <c r="H290" s="570"/>
      <c r="I290" s="570"/>
      <c r="J290" s="570"/>
      <c r="K290" s="570"/>
      <c r="L290" s="570"/>
      <c r="M290" s="570"/>
      <c r="N290" s="570"/>
      <c r="O290" s="570"/>
      <c r="P290" s="570"/>
      <c r="Q290" s="570"/>
      <c r="R290" s="570"/>
      <c r="S290" s="570"/>
      <c r="T290" s="570"/>
    </row>
    <row r="291" spans="1:20" s="569" customFormat="1" ht="15" customHeight="1">
      <c r="A291" s="571"/>
      <c r="B291" s="111"/>
      <c r="C291" s="572"/>
      <c r="D291" s="573"/>
      <c r="E291" s="572"/>
      <c r="F291" s="1056"/>
      <c r="H291" s="570"/>
      <c r="I291" s="570"/>
      <c r="J291" s="570"/>
      <c r="K291" s="570"/>
      <c r="L291" s="570"/>
      <c r="M291" s="570"/>
      <c r="N291" s="570"/>
      <c r="O291" s="570"/>
      <c r="P291" s="570"/>
      <c r="Q291" s="570"/>
      <c r="R291" s="570"/>
      <c r="S291" s="570"/>
      <c r="T291" s="570"/>
    </row>
    <row r="292" spans="1:20" s="569" customFormat="1" ht="15" customHeight="1">
      <c r="A292" s="571"/>
      <c r="B292" s="111"/>
      <c r="C292" s="572"/>
      <c r="D292" s="573"/>
      <c r="E292" s="572"/>
      <c r="F292" s="1056"/>
      <c r="H292" s="570"/>
      <c r="I292" s="570"/>
      <c r="J292" s="570"/>
      <c r="K292" s="570"/>
      <c r="L292" s="570"/>
      <c r="M292" s="570"/>
      <c r="N292" s="570"/>
      <c r="O292" s="570"/>
      <c r="P292" s="570"/>
      <c r="Q292" s="570"/>
      <c r="R292" s="570"/>
      <c r="S292" s="570"/>
      <c r="T292" s="570"/>
    </row>
    <row r="293" spans="1:20" s="569" customFormat="1" ht="15" customHeight="1">
      <c r="A293" s="571"/>
      <c r="B293" s="111"/>
      <c r="C293" s="572"/>
      <c r="D293" s="573"/>
      <c r="E293" s="572"/>
      <c r="F293" s="1056"/>
      <c r="H293" s="570"/>
      <c r="I293" s="570"/>
      <c r="J293" s="570"/>
      <c r="K293" s="570"/>
      <c r="L293" s="570"/>
      <c r="M293" s="570"/>
      <c r="N293" s="570"/>
      <c r="O293" s="570"/>
      <c r="P293" s="570"/>
      <c r="Q293" s="570"/>
      <c r="R293" s="570"/>
      <c r="S293" s="570"/>
      <c r="T293" s="570"/>
    </row>
    <row r="294" spans="1:20" s="569" customFormat="1" ht="15" customHeight="1">
      <c r="A294" s="571"/>
      <c r="B294" s="111"/>
      <c r="C294" s="572"/>
      <c r="D294" s="573"/>
      <c r="E294" s="572"/>
      <c r="F294" s="1056"/>
      <c r="H294" s="570"/>
      <c r="I294" s="570"/>
      <c r="J294" s="570"/>
      <c r="K294" s="570"/>
      <c r="L294" s="570"/>
      <c r="M294" s="570"/>
      <c r="N294" s="570"/>
      <c r="O294" s="570"/>
      <c r="P294" s="570"/>
      <c r="Q294" s="570"/>
      <c r="R294" s="570"/>
      <c r="S294" s="570"/>
      <c r="T294" s="570"/>
    </row>
    <row r="295" spans="1:20" s="569" customFormat="1" ht="15" customHeight="1">
      <c r="A295" s="571"/>
      <c r="B295" s="111"/>
      <c r="C295" s="572"/>
      <c r="D295" s="573"/>
      <c r="E295" s="572"/>
      <c r="F295" s="1056"/>
      <c r="H295" s="570"/>
      <c r="I295" s="570"/>
      <c r="J295" s="570"/>
      <c r="K295" s="570"/>
      <c r="L295" s="570"/>
      <c r="M295" s="570"/>
      <c r="N295" s="570"/>
      <c r="O295" s="570"/>
      <c r="P295" s="570"/>
      <c r="Q295" s="570"/>
      <c r="R295" s="570"/>
      <c r="S295" s="570"/>
      <c r="T295" s="570"/>
    </row>
    <row r="296" spans="1:20" s="569" customFormat="1" ht="15" customHeight="1">
      <c r="A296" s="571"/>
      <c r="B296" s="111"/>
      <c r="C296" s="572"/>
      <c r="D296" s="573"/>
      <c r="E296" s="572"/>
      <c r="F296" s="1056"/>
      <c r="H296" s="570"/>
      <c r="I296" s="570"/>
      <c r="J296" s="570"/>
      <c r="K296" s="570"/>
      <c r="L296" s="570"/>
      <c r="M296" s="570"/>
      <c r="N296" s="570"/>
      <c r="O296" s="570"/>
      <c r="P296" s="570"/>
      <c r="Q296" s="570"/>
      <c r="R296" s="570"/>
      <c r="S296" s="570"/>
      <c r="T296" s="570"/>
    </row>
    <row r="297" spans="1:20" s="569" customFormat="1" ht="15" customHeight="1">
      <c r="A297" s="571"/>
      <c r="B297" s="111"/>
      <c r="C297" s="572"/>
      <c r="D297" s="573"/>
      <c r="E297" s="572"/>
      <c r="F297" s="1056"/>
      <c r="H297" s="570"/>
      <c r="I297" s="570"/>
      <c r="J297" s="570"/>
      <c r="K297" s="570"/>
      <c r="L297" s="570"/>
      <c r="M297" s="570"/>
      <c r="N297" s="570"/>
      <c r="O297" s="570"/>
      <c r="P297" s="570"/>
      <c r="Q297" s="570"/>
      <c r="R297" s="570"/>
      <c r="S297" s="570"/>
      <c r="T297" s="570"/>
    </row>
    <row r="298" spans="1:20" s="569" customFormat="1" ht="15" customHeight="1">
      <c r="A298" s="571"/>
      <c r="B298" s="111"/>
      <c r="C298" s="572"/>
      <c r="D298" s="573"/>
      <c r="E298" s="572"/>
      <c r="F298" s="1056"/>
      <c r="H298" s="570"/>
      <c r="I298" s="570"/>
      <c r="J298" s="570"/>
      <c r="K298" s="570"/>
      <c r="L298" s="570"/>
      <c r="M298" s="570"/>
      <c r="N298" s="570"/>
      <c r="O298" s="570"/>
      <c r="P298" s="570"/>
      <c r="Q298" s="570"/>
      <c r="R298" s="570"/>
      <c r="S298" s="570"/>
      <c r="T298" s="570"/>
    </row>
    <row r="299" spans="1:20" s="569" customFormat="1" ht="15" customHeight="1">
      <c r="A299" s="571"/>
      <c r="B299" s="111"/>
      <c r="C299" s="572"/>
      <c r="D299" s="573"/>
      <c r="E299" s="572"/>
      <c r="F299" s="1056"/>
      <c r="H299" s="570"/>
      <c r="I299" s="570"/>
      <c r="J299" s="570"/>
      <c r="K299" s="570"/>
      <c r="L299" s="570"/>
      <c r="M299" s="570"/>
      <c r="N299" s="570"/>
      <c r="O299" s="570"/>
      <c r="P299" s="570"/>
      <c r="Q299" s="570"/>
      <c r="R299" s="570"/>
      <c r="S299" s="570"/>
      <c r="T299" s="570"/>
    </row>
    <row r="300" spans="1:20" s="569" customFormat="1" ht="15" customHeight="1">
      <c r="A300" s="571"/>
      <c r="B300" s="111"/>
      <c r="C300" s="572"/>
      <c r="D300" s="573"/>
      <c r="E300" s="572"/>
      <c r="F300" s="1056"/>
      <c r="H300" s="570"/>
      <c r="I300" s="570"/>
      <c r="J300" s="570"/>
      <c r="K300" s="570"/>
      <c r="L300" s="570"/>
      <c r="M300" s="570"/>
      <c r="N300" s="570"/>
      <c r="O300" s="570"/>
      <c r="P300" s="570"/>
      <c r="Q300" s="570"/>
      <c r="R300" s="570"/>
      <c r="S300" s="570"/>
      <c r="T300" s="570"/>
    </row>
    <row r="301" spans="1:20" s="569" customFormat="1" ht="15" customHeight="1">
      <c r="A301" s="571"/>
      <c r="B301" s="111"/>
      <c r="C301" s="572"/>
      <c r="D301" s="573"/>
      <c r="E301" s="572"/>
      <c r="F301" s="1056"/>
      <c r="H301" s="570"/>
      <c r="I301" s="570"/>
      <c r="J301" s="570"/>
      <c r="K301" s="570"/>
      <c r="L301" s="570"/>
      <c r="M301" s="570"/>
      <c r="N301" s="570"/>
      <c r="O301" s="570"/>
      <c r="P301" s="570"/>
      <c r="Q301" s="570"/>
      <c r="R301" s="570"/>
      <c r="S301" s="570"/>
      <c r="T301" s="570"/>
    </row>
    <row r="302" spans="1:20" s="569" customFormat="1" ht="15" customHeight="1">
      <c r="A302" s="571"/>
      <c r="B302" s="111"/>
      <c r="C302" s="572"/>
      <c r="D302" s="573"/>
      <c r="E302" s="572"/>
      <c r="F302" s="1056"/>
      <c r="H302" s="570"/>
      <c r="I302" s="570"/>
      <c r="J302" s="570"/>
      <c r="K302" s="570"/>
      <c r="L302" s="570"/>
      <c r="M302" s="570"/>
      <c r="N302" s="570"/>
      <c r="O302" s="570"/>
      <c r="P302" s="570"/>
      <c r="Q302" s="570"/>
      <c r="R302" s="570"/>
      <c r="S302" s="570"/>
      <c r="T302" s="570"/>
    </row>
    <row r="303" spans="1:20" s="569" customFormat="1" ht="15" customHeight="1">
      <c r="A303" s="571"/>
      <c r="B303" s="111"/>
      <c r="C303" s="572"/>
      <c r="D303" s="573"/>
      <c r="E303" s="572"/>
      <c r="F303" s="1056"/>
      <c r="H303" s="570"/>
      <c r="I303" s="570"/>
      <c r="J303" s="570"/>
      <c r="K303" s="570"/>
      <c r="L303" s="570"/>
      <c r="M303" s="570"/>
      <c r="N303" s="570"/>
      <c r="O303" s="570"/>
      <c r="P303" s="570"/>
      <c r="Q303" s="570"/>
      <c r="R303" s="570"/>
      <c r="S303" s="570"/>
      <c r="T303" s="570"/>
    </row>
    <row r="304" spans="1:20" s="569" customFormat="1" ht="15" customHeight="1">
      <c r="A304" s="571"/>
      <c r="B304" s="111"/>
      <c r="C304" s="572"/>
      <c r="D304" s="573"/>
      <c r="E304" s="572"/>
      <c r="F304" s="1056"/>
      <c r="H304" s="570"/>
      <c r="I304" s="570"/>
      <c r="J304" s="570"/>
      <c r="K304" s="570"/>
      <c r="L304" s="570"/>
      <c r="M304" s="570"/>
      <c r="N304" s="570"/>
      <c r="O304" s="570"/>
      <c r="P304" s="570"/>
      <c r="Q304" s="570"/>
      <c r="R304" s="570"/>
      <c r="S304" s="570"/>
      <c r="T304" s="570"/>
    </row>
    <row r="305" spans="1:20" s="569" customFormat="1" ht="15" customHeight="1">
      <c r="A305" s="571"/>
      <c r="B305" s="111"/>
      <c r="C305" s="572"/>
      <c r="D305" s="573"/>
      <c r="E305" s="572"/>
      <c r="F305" s="1056"/>
      <c r="H305" s="570"/>
      <c r="I305" s="570"/>
      <c r="J305" s="570"/>
      <c r="K305" s="570"/>
      <c r="L305" s="570"/>
      <c r="M305" s="570"/>
      <c r="N305" s="570"/>
      <c r="O305" s="570"/>
      <c r="P305" s="570"/>
      <c r="Q305" s="570"/>
      <c r="R305" s="570"/>
      <c r="S305" s="570"/>
      <c r="T305" s="570"/>
    </row>
    <row r="306" spans="1:20" s="569" customFormat="1" ht="15" customHeight="1">
      <c r="A306" s="571"/>
      <c r="B306" s="111"/>
      <c r="C306" s="572"/>
      <c r="D306" s="573"/>
      <c r="E306" s="572"/>
      <c r="F306" s="1056"/>
      <c r="H306" s="570"/>
      <c r="I306" s="570"/>
      <c r="J306" s="570"/>
      <c r="K306" s="570"/>
      <c r="L306" s="570"/>
      <c r="M306" s="570"/>
      <c r="N306" s="570"/>
      <c r="O306" s="570"/>
      <c r="P306" s="570"/>
      <c r="Q306" s="570"/>
      <c r="R306" s="570"/>
      <c r="S306" s="570"/>
      <c r="T306" s="570"/>
    </row>
    <row r="307" spans="1:20" s="569" customFormat="1" ht="15" customHeight="1">
      <c r="A307" s="571"/>
      <c r="B307" s="111"/>
      <c r="C307" s="572"/>
      <c r="D307" s="573"/>
      <c r="E307" s="572"/>
      <c r="F307" s="1056"/>
      <c r="H307" s="570"/>
      <c r="I307" s="570"/>
      <c r="J307" s="570"/>
      <c r="K307" s="570"/>
      <c r="L307" s="570"/>
      <c r="M307" s="570"/>
      <c r="N307" s="570"/>
      <c r="O307" s="570"/>
      <c r="P307" s="570"/>
      <c r="Q307" s="570"/>
      <c r="R307" s="570"/>
      <c r="S307" s="570"/>
      <c r="T307" s="570"/>
    </row>
    <row r="308" spans="1:20" s="569" customFormat="1" ht="15" customHeight="1">
      <c r="A308" s="571"/>
      <c r="B308" s="111"/>
      <c r="C308" s="572"/>
      <c r="D308" s="573"/>
      <c r="E308" s="572"/>
      <c r="F308" s="1056"/>
      <c r="H308" s="570"/>
      <c r="I308" s="570"/>
      <c r="J308" s="570"/>
      <c r="K308" s="570"/>
      <c r="L308" s="570"/>
      <c r="M308" s="570"/>
      <c r="N308" s="570"/>
      <c r="O308" s="570"/>
      <c r="P308" s="570"/>
      <c r="Q308" s="570"/>
      <c r="R308" s="570"/>
      <c r="S308" s="570"/>
      <c r="T308" s="570"/>
    </row>
    <row r="309" spans="1:20" s="569" customFormat="1" ht="15" customHeight="1">
      <c r="A309" s="571"/>
      <c r="B309" s="111"/>
      <c r="C309" s="572"/>
      <c r="D309" s="573"/>
      <c r="E309" s="572"/>
      <c r="F309" s="1056"/>
      <c r="H309" s="570"/>
      <c r="I309" s="570"/>
      <c r="J309" s="570"/>
      <c r="K309" s="570"/>
      <c r="L309" s="570"/>
      <c r="M309" s="570"/>
      <c r="N309" s="570"/>
      <c r="O309" s="570"/>
      <c r="P309" s="570"/>
      <c r="Q309" s="570"/>
      <c r="R309" s="570"/>
      <c r="S309" s="570"/>
      <c r="T309" s="570"/>
    </row>
    <row r="310" spans="1:20" s="569" customFormat="1" ht="15" customHeight="1">
      <c r="A310" s="571"/>
      <c r="B310" s="111"/>
      <c r="C310" s="572"/>
      <c r="D310" s="573"/>
      <c r="E310" s="572"/>
      <c r="F310" s="1056"/>
      <c r="H310" s="570"/>
      <c r="I310" s="570"/>
      <c r="J310" s="570"/>
      <c r="K310" s="570"/>
      <c r="L310" s="570"/>
      <c r="M310" s="570"/>
      <c r="N310" s="570"/>
      <c r="O310" s="570"/>
      <c r="P310" s="570"/>
      <c r="Q310" s="570"/>
      <c r="R310" s="570"/>
      <c r="S310" s="570"/>
      <c r="T310" s="570"/>
    </row>
    <row r="311" spans="1:20" s="569" customFormat="1" ht="15" customHeight="1">
      <c r="A311" s="571"/>
      <c r="B311" s="111"/>
      <c r="C311" s="572"/>
      <c r="D311" s="573"/>
      <c r="E311" s="572"/>
      <c r="F311" s="1056"/>
      <c r="H311" s="570"/>
      <c r="I311" s="570"/>
      <c r="J311" s="570"/>
      <c r="K311" s="570"/>
      <c r="L311" s="570"/>
      <c r="M311" s="570"/>
      <c r="N311" s="570"/>
      <c r="O311" s="570"/>
      <c r="P311" s="570"/>
      <c r="Q311" s="570"/>
      <c r="R311" s="570"/>
      <c r="S311" s="570"/>
      <c r="T311" s="570"/>
    </row>
    <row r="312" spans="1:20" s="569" customFormat="1" ht="15" customHeight="1">
      <c r="A312" s="571"/>
      <c r="B312" s="111"/>
      <c r="C312" s="572"/>
      <c r="D312" s="573"/>
      <c r="E312" s="572"/>
      <c r="F312" s="1056"/>
      <c r="H312" s="570"/>
      <c r="I312" s="570"/>
      <c r="J312" s="570"/>
      <c r="K312" s="570"/>
      <c r="L312" s="570"/>
      <c r="M312" s="570"/>
      <c r="N312" s="570"/>
      <c r="O312" s="570"/>
      <c r="P312" s="570"/>
      <c r="Q312" s="570"/>
      <c r="R312" s="570"/>
      <c r="S312" s="570"/>
      <c r="T312" s="570"/>
    </row>
    <row r="313" spans="1:20" s="569" customFormat="1" ht="15" customHeight="1">
      <c r="A313" s="571"/>
      <c r="B313" s="111"/>
      <c r="C313" s="572"/>
      <c r="D313" s="573"/>
      <c r="E313" s="572"/>
      <c r="F313" s="1056"/>
      <c r="H313" s="570"/>
      <c r="I313" s="570"/>
      <c r="J313" s="570"/>
      <c r="K313" s="570"/>
      <c r="L313" s="570"/>
      <c r="M313" s="570"/>
      <c r="N313" s="570"/>
      <c r="O313" s="570"/>
      <c r="P313" s="570"/>
      <c r="Q313" s="570"/>
      <c r="R313" s="570"/>
      <c r="S313" s="570"/>
      <c r="T313" s="570"/>
    </row>
    <row r="314" spans="1:20" s="569" customFormat="1" ht="15" customHeight="1">
      <c r="A314" s="571"/>
      <c r="B314" s="111"/>
      <c r="C314" s="572"/>
      <c r="D314" s="573"/>
      <c r="E314" s="572"/>
      <c r="F314" s="1056"/>
      <c r="H314" s="570"/>
      <c r="I314" s="570"/>
      <c r="J314" s="570"/>
      <c r="K314" s="570"/>
      <c r="L314" s="570"/>
      <c r="M314" s="570"/>
      <c r="N314" s="570"/>
      <c r="O314" s="570"/>
      <c r="P314" s="570"/>
      <c r="Q314" s="570"/>
      <c r="R314" s="570"/>
      <c r="S314" s="570"/>
      <c r="T314" s="570"/>
    </row>
    <row r="315" spans="1:20" s="569" customFormat="1" ht="15" customHeight="1">
      <c r="A315" s="571"/>
      <c r="B315" s="111"/>
      <c r="C315" s="572"/>
      <c r="D315" s="573"/>
      <c r="E315" s="572"/>
      <c r="F315" s="1056"/>
      <c r="H315" s="570"/>
      <c r="I315" s="570"/>
      <c r="J315" s="570"/>
      <c r="K315" s="570"/>
      <c r="L315" s="570"/>
      <c r="M315" s="570"/>
      <c r="N315" s="570"/>
      <c r="O315" s="570"/>
      <c r="P315" s="570"/>
      <c r="Q315" s="570"/>
      <c r="R315" s="570"/>
      <c r="S315" s="570"/>
      <c r="T315" s="570"/>
    </row>
    <row r="316" spans="1:20" s="569" customFormat="1" ht="15" customHeight="1">
      <c r="A316" s="571"/>
      <c r="B316" s="111"/>
      <c r="C316" s="572"/>
      <c r="D316" s="573"/>
      <c r="E316" s="572"/>
      <c r="F316" s="1056"/>
      <c r="H316" s="570"/>
      <c r="I316" s="570"/>
      <c r="J316" s="570"/>
      <c r="K316" s="570"/>
      <c r="L316" s="570"/>
      <c r="M316" s="570"/>
      <c r="N316" s="570"/>
      <c r="O316" s="570"/>
      <c r="P316" s="570"/>
      <c r="Q316" s="570"/>
      <c r="R316" s="570"/>
      <c r="S316" s="570"/>
      <c r="T316" s="570"/>
    </row>
    <row r="317" spans="1:20" s="569" customFormat="1" ht="15" customHeight="1">
      <c r="A317" s="571"/>
      <c r="B317" s="111"/>
      <c r="C317" s="572"/>
      <c r="D317" s="573"/>
      <c r="E317" s="572"/>
      <c r="F317" s="1056"/>
      <c r="H317" s="570"/>
      <c r="I317" s="570"/>
      <c r="J317" s="570"/>
      <c r="K317" s="570"/>
      <c r="L317" s="570"/>
      <c r="M317" s="570"/>
      <c r="N317" s="570"/>
      <c r="O317" s="570"/>
      <c r="P317" s="570"/>
      <c r="Q317" s="570"/>
      <c r="R317" s="570"/>
      <c r="S317" s="570"/>
      <c r="T317" s="570"/>
    </row>
    <row r="318" spans="1:20" s="569" customFormat="1" ht="15" customHeight="1">
      <c r="A318" s="571"/>
      <c r="B318" s="111"/>
      <c r="C318" s="572"/>
      <c r="D318" s="573"/>
      <c r="E318" s="572"/>
      <c r="F318" s="1056"/>
      <c r="H318" s="570"/>
      <c r="I318" s="570"/>
      <c r="J318" s="570"/>
      <c r="K318" s="570"/>
      <c r="L318" s="570"/>
      <c r="M318" s="570"/>
      <c r="N318" s="570"/>
      <c r="O318" s="570"/>
      <c r="P318" s="570"/>
      <c r="Q318" s="570"/>
      <c r="R318" s="570"/>
      <c r="S318" s="570"/>
      <c r="T318" s="570"/>
    </row>
    <row r="319" spans="1:20" s="569" customFormat="1" ht="15" customHeight="1">
      <c r="A319" s="571"/>
      <c r="B319" s="111"/>
      <c r="C319" s="572"/>
      <c r="D319" s="573"/>
      <c r="E319" s="572"/>
      <c r="F319" s="1056"/>
      <c r="H319" s="570"/>
      <c r="I319" s="570"/>
      <c r="J319" s="570"/>
      <c r="K319" s="570"/>
      <c r="L319" s="570"/>
      <c r="M319" s="570"/>
      <c r="N319" s="570"/>
      <c r="O319" s="570"/>
      <c r="P319" s="570"/>
      <c r="Q319" s="570"/>
      <c r="R319" s="570"/>
      <c r="S319" s="570"/>
      <c r="T319" s="570"/>
    </row>
    <row r="320" spans="1:20" s="569" customFormat="1" ht="15" customHeight="1">
      <c r="A320" s="571"/>
      <c r="B320" s="111"/>
      <c r="C320" s="572"/>
      <c r="D320" s="573"/>
      <c r="E320" s="572"/>
      <c r="F320" s="1056"/>
      <c r="H320" s="570"/>
      <c r="I320" s="570"/>
      <c r="J320" s="570"/>
      <c r="K320" s="570"/>
      <c r="L320" s="570"/>
      <c r="M320" s="570"/>
      <c r="N320" s="570"/>
      <c r="O320" s="570"/>
      <c r="P320" s="570"/>
      <c r="Q320" s="570"/>
      <c r="R320" s="570"/>
      <c r="S320" s="570"/>
      <c r="T320" s="570"/>
    </row>
    <row r="321" spans="1:20" s="569" customFormat="1" ht="15" customHeight="1">
      <c r="A321" s="571"/>
      <c r="B321" s="111"/>
      <c r="C321" s="572"/>
      <c r="D321" s="573"/>
      <c r="E321" s="572"/>
      <c r="F321" s="1056"/>
      <c r="H321" s="570"/>
      <c r="I321" s="570"/>
      <c r="J321" s="570"/>
      <c r="K321" s="570"/>
      <c r="L321" s="570"/>
      <c r="M321" s="570"/>
      <c r="N321" s="570"/>
      <c r="O321" s="570"/>
      <c r="P321" s="570"/>
      <c r="Q321" s="570"/>
      <c r="R321" s="570"/>
      <c r="S321" s="570"/>
      <c r="T321" s="570"/>
    </row>
    <row r="322" spans="1:20" s="569" customFormat="1" ht="15" customHeight="1">
      <c r="A322" s="571"/>
      <c r="B322" s="111"/>
      <c r="C322" s="572"/>
      <c r="D322" s="573"/>
      <c r="E322" s="572"/>
      <c r="F322" s="1056"/>
      <c r="H322" s="570"/>
      <c r="I322" s="570"/>
      <c r="J322" s="570"/>
      <c r="K322" s="570"/>
      <c r="L322" s="570"/>
      <c r="M322" s="570"/>
      <c r="N322" s="570"/>
      <c r="O322" s="570"/>
      <c r="P322" s="570"/>
      <c r="Q322" s="570"/>
      <c r="R322" s="570"/>
      <c r="S322" s="570"/>
      <c r="T322" s="570"/>
    </row>
    <row r="323" spans="1:20" s="569" customFormat="1" ht="15" customHeight="1">
      <c r="A323" s="571"/>
      <c r="B323" s="111"/>
      <c r="C323" s="572"/>
      <c r="D323" s="573"/>
      <c r="E323" s="572"/>
      <c r="F323" s="1056"/>
      <c r="H323" s="570"/>
      <c r="I323" s="570"/>
      <c r="J323" s="570"/>
      <c r="K323" s="570"/>
      <c r="L323" s="570"/>
      <c r="M323" s="570"/>
      <c r="N323" s="570"/>
      <c r="O323" s="570"/>
      <c r="P323" s="570"/>
      <c r="Q323" s="570"/>
      <c r="R323" s="570"/>
      <c r="S323" s="570"/>
      <c r="T323" s="570"/>
    </row>
    <row r="324" spans="1:20" s="569" customFormat="1" ht="15" customHeight="1">
      <c r="A324" s="571"/>
      <c r="B324" s="111"/>
      <c r="C324" s="572"/>
      <c r="D324" s="573"/>
      <c r="E324" s="572"/>
      <c r="F324" s="1056"/>
      <c r="H324" s="570"/>
      <c r="I324" s="570"/>
      <c r="J324" s="570"/>
      <c r="K324" s="570"/>
      <c r="L324" s="570"/>
      <c r="M324" s="570"/>
      <c r="N324" s="570"/>
      <c r="O324" s="570"/>
      <c r="P324" s="570"/>
      <c r="Q324" s="570"/>
      <c r="R324" s="570"/>
      <c r="S324" s="570"/>
      <c r="T324" s="570"/>
    </row>
    <row r="325" spans="1:20" s="569" customFormat="1" ht="15" customHeight="1">
      <c r="A325" s="571"/>
      <c r="B325" s="111"/>
      <c r="C325" s="572"/>
      <c r="D325" s="573"/>
      <c r="E325" s="572"/>
      <c r="F325" s="1056"/>
      <c r="H325" s="570"/>
      <c r="I325" s="570"/>
      <c r="J325" s="570"/>
      <c r="K325" s="570"/>
      <c r="L325" s="570"/>
      <c r="M325" s="570"/>
      <c r="N325" s="570"/>
      <c r="O325" s="570"/>
      <c r="P325" s="570"/>
      <c r="Q325" s="570"/>
      <c r="R325" s="570"/>
      <c r="S325" s="570"/>
      <c r="T325" s="570"/>
    </row>
    <row r="326" spans="1:20" s="569" customFormat="1" ht="15" customHeight="1">
      <c r="A326" s="571"/>
      <c r="B326" s="111"/>
      <c r="C326" s="572"/>
      <c r="D326" s="573"/>
      <c r="E326" s="572"/>
      <c r="F326" s="1056"/>
      <c r="H326" s="570"/>
      <c r="I326" s="570"/>
      <c r="J326" s="570"/>
      <c r="K326" s="570"/>
      <c r="L326" s="570"/>
      <c r="M326" s="570"/>
      <c r="N326" s="570"/>
      <c r="O326" s="570"/>
      <c r="P326" s="570"/>
      <c r="Q326" s="570"/>
      <c r="R326" s="570"/>
      <c r="S326" s="570"/>
      <c r="T326" s="570"/>
    </row>
    <row r="327" spans="1:20" s="569" customFormat="1" ht="15" customHeight="1">
      <c r="A327" s="571"/>
      <c r="B327" s="111"/>
      <c r="C327" s="572"/>
      <c r="D327" s="573"/>
      <c r="E327" s="572"/>
      <c r="F327" s="1056"/>
      <c r="H327" s="570"/>
      <c r="I327" s="570"/>
      <c r="J327" s="570"/>
      <c r="K327" s="570"/>
      <c r="L327" s="570"/>
      <c r="M327" s="570"/>
      <c r="N327" s="570"/>
      <c r="O327" s="570"/>
      <c r="P327" s="570"/>
      <c r="Q327" s="570"/>
      <c r="R327" s="570"/>
      <c r="S327" s="570"/>
      <c r="T327" s="570"/>
    </row>
    <row r="328" spans="1:20" s="569" customFormat="1" ht="15" customHeight="1">
      <c r="A328" s="571"/>
      <c r="B328" s="111"/>
      <c r="C328" s="572"/>
      <c r="D328" s="573"/>
      <c r="E328" s="572"/>
      <c r="F328" s="1056"/>
      <c r="H328" s="570"/>
      <c r="I328" s="570"/>
      <c r="J328" s="570"/>
      <c r="K328" s="570"/>
      <c r="L328" s="570"/>
      <c r="M328" s="570"/>
      <c r="N328" s="570"/>
      <c r="O328" s="570"/>
      <c r="P328" s="570"/>
      <c r="Q328" s="570"/>
      <c r="R328" s="570"/>
      <c r="S328" s="570"/>
      <c r="T328" s="570"/>
    </row>
    <row r="329" spans="1:20" s="569" customFormat="1" ht="15" customHeight="1">
      <c r="A329" s="571"/>
      <c r="B329" s="111"/>
      <c r="C329" s="572"/>
      <c r="D329" s="573"/>
      <c r="E329" s="572"/>
      <c r="F329" s="1056"/>
      <c r="H329" s="570"/>
      <c r="I329" s="570"/>
      <c r="J329" s="570"/>
      <c r="K329" s="570"/>
      <c r="L329" s="570"/>
      <c r="M329" s="570"/>
      <c r="N329" s="570"/>
      <c r="O329" s="570"/>
      <c r="P329" s="570"/>
      <c r="Q329" s="570"/>
      <c r="R329" s="570"/>
      <c r="S329" s="570"/>
      <c r="T329" s="570"/>
    </row>
    <row r="330" spans="1:20" s="569" customFormat="1" ht="15" customHeight="1">
      <c r="A330" s="571"/>
      <c r="B330" s="111"/>
      <c r="C330" s="572"/>
      <c r="D330" s="573"/>
      <c r="E330" s="572"/>
      <c r="F330" s="1056"/>
      <c r="H330" s="570"/>
      <c r="I330" s="570"/>
      <c r="J330" s="570"/>
      <c r="K330" s="570"/>
      <c r="L330" s="570"/>
      <c r="M330" s="570"/>
      <c r="N330" s="570"/>
      <c r="O330" s="570"/>
      <c r="P330" s="570"/>
      <c r="Q330" s="570"/>
      <c r="R330" s="570"/>
      <c r="S330" s="570"/>
      <c r="T330" s="570"/>
    </row>
    <row r="331" spans="1:20" s="569" customFormat="1" ht="15" customHeight="1">
      <c r="A331" s="571"/>
      <c r="B331" s="111"/>
      <c r="C331" s="572"/>
      <c r="D331" s="573"/>
      <c r="E331" s="572"/>
      <c r="F331" s="1056"/>
      <c r="H331" s="570"/>
      <c r="I331" s="570"/>
      <c r="J331" s="570"/>
      <c r="K331" s="570"/>
      <c r="L331" s="570"/>
      <c r="M331" s="570"/>
      <c r="N331" s="570"/>
      <c r="O331" s="570"/>
      <c r="P331" s="570"/>
      <c r="Q331" s="570"/>
      <c r="R331" s="570"/>
      <c r="S331" s="570"/>
      <c r="T331" s="570"/>
    </row>
    <row r="332" spans="1:20" s="569" customFormat="1" ht="15" customHeight="1">
      <c r="A332" s="571"/>
      <c r="B332" s="111"/>
      <c r="C332" s="572"/>
      <c r="D332" s="573"/>
      <c r="E332" s="572"/>
      <c r="F332" s="1056"/>
      <c r="H332" s="570"/>
      <c r="I332" s="570"/>
      <c r="J332" s="570"/>
      <c r="K332" s="570"/>
      <c r="L332" s="570"/>
      <c r="M332" s="570"/>
      <c r="N332" s="570"/>
      <c r="O332" s="570"/>
      <c r="P332" s="570"/>
      <c r="Q332" s="570"/>
      <c r="R332" s="570"/>
      <c r="S332" s="570"/>
      <c r="T332" s="570"/>
    </row>
    <row r="333" spans="1:20" s="569" customFormat="1" ht="15" customHeight="1">
      <c r="A333" s="571"/>
      <c r="B333" s="111"/>
      <c r="C333" s="572"/>
      <c r="D333" s="573"/>
      <c r="E333" s="572"/>
      <c r="F333" s="1056"/>
      <c r="H333" s="570"/>
      <c r="I333" s="570"/>
      <c r="J333" s="570"/>
      <c r="K333" s="570"/>
      <c r="L333" s="570"/>
      <c r="M333" s="570"/>
      <c r="N333" s="570"/>
      <c r="O333" s="570"/>
      <c r="P333" s="570"/>
      <c r="Q333" s="570"/>
      <c r="R333" s="570"/>
      <c r="S333" s="570"/>
      <c r="T333" s="570"/>
    </row>
    <row r="334" spans="1:20" s="569" customFormat="1" ht="15" customHeight="1">
      <c r="A334" s="571"/>
      <c r="B334" s="111"/>
      <c r="C334" s="572"/>
      <c r="D334" s="573"/>
      <c r="E334" s="572"/>
      <c r="F334" s="1056"/>
      <c r="H334" s="570"/>
      <c r="I334" s="570"/>
      <c r="J334" s="570"/>
      <c r="K334" s="570"/>
      <c r="L334" s="570"/>
      <c r="M334" s="570"/>
      <c r="N334" s="570"/>
      <c r="O334" s="570"/>
      <c r="P334" s="570"/>
      <c r="Q334" s="570"/>
      <c r="R334" s="570"/>
      <c r="S334" s="570"/>
      <c r="T334" s="570"/>
    </row>
    <row r="335" spans="1:20" s="569" customFormat="1" ht="15" customHeight="1">
      <c r="A335" s="571"/>
      <c r="B335" s="111"/>
      <c r="C335" s="572"/>
      <c r="D335" s="573"/>
      <c r="E335" s="572"/>
      <c r="F335" s="1056"/>
      <c r="H335" s="570"/>
      <c r="I335" s="570"/>
      <c r="J335" s="570"/>
      <c r="K335" s="570"/>
      <c r="L335" s="570"/>
      <c r="M335" s="570"/>
      <c r="N335" s="570"/>
      <c r="O335" s="570"/>
      <c r="P335" s="570"/>
      <c r="Q335" s="570"/>
      <c r="R335" s="570"/>
      <c r="S335" s="570"/>
      <c r="T335" s="570"/>
    </row>
    <row r="336" spans="1:20" s="569" customFormat="1" ht="15" customHeight="1">
      <c r="A336" s="571"/>
      <c r="B336" s="111"/>
      <c r="C336" s="572"/>
      <c r="D336" s="573"/>
      <c r="E336" s="572"/>
      <c r="F336" s="1056"/>
      <c r="H336" s="570"/>
      <c r="I336" s="570"/>
      <c r="J336" s="570"/>
      <c r="K336" s="570"/>
      <c r="L336" s="570"/>
      <c r="M336" s="570"/>
      <c r="N336" s="570"/>
      <c r="O336" s="570"/>
      <c r="P336" s="570"/>
      <c r="Q336" s="570"/>
      <c r="R336" s="570"/>
      <c r="S336" s="570"/>
      <c r="T336" s="570"/>
    </row>
    <row r="337" spans="1:20" s="569" customFormat="1" ht="15" customHeight="1">
      <c r="A337" s="571"/>
      <c r="B337" s="111"/>
      <c r="C337" s="572"/>
      <c r="D337" s="573"/>
      <c r="E337" s="572"/>
      <c r="F337" s="1056"/>
      <c r="H337" s="570"/>
      <c r="I337" s="570"/>
      <c r="J337" s="570"/>
      <c r="K337" s="570"/>
      <c r="L337" s="570"/>
      <c r="M337" s="570"/>
      <c r="N337" s="570"/>
      <c r="O337" s="570"/>
      <c r="P337" s="570"/>
      <c r="Q337" s="570"/>
      <c r="R337" s="570"/>
      <c r="S337" s="570"/>
      <c r="T337" s="570"/>
    </row>
    <row r="338" spans="1:20" s="569" customFormat="1" ht="15" customHeight="1">
      <c r="A338" s="571"/>
      <c r="B338" s="111"/>
      <c r="C338" s="572"/>
      <c r="D338" s="573"/>
      <c r="E338" s="572"/>
      <c r="F338" s="1056"/>
      <c r="H338" s="570"/>
      <c r="I338" s="570"/>
      <c r="J338" s="570"/>
      <c r="K338" s="570"/>
      <c r="L338" s="570"/>
      <c r="M338" s="570"/>
      <c r="N338" s="570"/>
      <c r="O338" s="570"/>
      <c r="P338" s="570"/>
      <c r="Q338" s="570"/>
      <c r="R338" s="570"/>
      <c r="S338" s="570"/>
      <c r="T338" s="570"/>
    </row>
    <row r="339" spans="1:20" s="569" customFormat="1" ht="15" customHeight="1">
      <c r="A339" s="571"/>
      <c r="B339" s="111"/>
      <c r="C339" s="572"/>
      <c r="D339" s="573"/>
      <c r="E339" s="572"/>
      <c r="F339" s="1056"/>
      <c r="H339" s="570"/>
      <c r="I339" s="570"/>
      <c r="J339" s="570"/>
      <c r="K339" s="570"/>
      <c r="L339" s="570"/>
      <c r="M339" s="570"/>
      <c r="N339" s="570"/>
      <c r="O339" s="570"/>
      <c r="P339" s="570"/>
      <c r="Q339" s="570"/>
      <c r="R339" s="570"/>
      <c r="S339" s="570"/>
      <c r="T339" s="570"/>
    </row>
    <row r="340" spans="1:20" s="569" customFormat="1" ht="15" customHeight="1">
      <c r="A340" s="571"/>
      <c r="B340" s="111"/>
      <c r="C340" s="572"/>
      <c r="D340" s="573"/>
      <c r="E340" s="572"/>
      <c r="F340" s="1056"/>
      <c r="H340" s="570"/>
      <c r="I340" s="570"/>
      <c r="J340" s="570"/>
      <c r="K340" s="570"/>
      <c r="L340" s="570"/>
      <c r="M340" s="570"/>
      <c r="N340" s="570"/>
      <c r="O340" s="570"/>
      <c r="P340" s="570"/>
      <c r="Q340" s="570"/>
      <c r="R340" s="570"/>
      <c r="S340" s="570"/>
      <c r="T340" s="570"/>
    </row>
    <row r="341" spans="1:20" s="569" customFormat="1" ht="15" customHeight="1">
      <c r="A341" s="571"/>
      <c r="B341" s="111"/>
      <c r="C341" s="572"/>
      <c r="D341" s="573"/>
      <c r="E341" s="572"/>
      <c r="F341" s="1056"/>
      <c r="H341" s="570"/>
      <c r="I341" s="570"/>
      <c r="J341" s="570"/>
      <c r="K341" s="570"/>
      <c r="L341" s="570"/>
      <c r="M341" s="570"/>
      <c r="N341" s="570"/>
      <c r="O341" s="570"/>
      <c r="P341" s="570"/>
      <c r="Q341" s="570"/>
      <c r="R341" s="570"/>
      <c r="S341" s="570"/>
      <c r="T341" s="570"/>
    </row>
    <row r="342" spans="1:20" s="569" customFormat="1" ht="15" customHeight="1">
      <c r="A342" s="571"/>
      <c r="B342" s="111"/>
      <c r="C342" s="572"/>
      <c r="D342" s="573"/>
      <c r="E342" s="572"/>
      <c r="F342" s="1056"/>
      <c r="H342" s="570"/>
      <c r="I342" s="570"/>
      <c r="J342" s="570"/>
      <c r="K342" s="570"/>
      <c r="L342" s="570"/>
      <c r="M342" s="570"/>
      <c r="N342" s="570"/>
      <c r="O342" s="570"/>
      <c r="P342" s="570"/>
      <c r="Q342" s="570"/>
      <c r="R342" s="570"/>
      <c r="S342" s="570"/>
      <c r="T342" s="570"/>
    </row>
    <row r="343" spans="1:20" s="569" customFormat="1" ht="15" customHeight="1">
      <c r="A343" s="571"/>
      <c r="B343" s="111"/>
      <c r="C343" s="572"/>
      <c r="D343" s="573"/>
      <c r="E343" s="572"/>
      <c r="F343" s="1056"/>
      <c r="H343" s="570"/>
      <c r="I343" s="570"/>
      <c r="J343" s="570"/>
      <c r="K343" s="570"/>
      <c r="L343" s="570"/>
      <c r="M343" s="570"/>
      <c r="N343" s="570"/>
      <c r="O343" s="570"/>
      <c r="P343" s="570"/>
      <c r="Q343" s="570"/>
      <c r="R343" s="570"/>
      <c r="S343" s="570"/>
      <c r="T343" s="570"/>
    </row>
    <row r="344" spans="1:20" s="569" customFormat="1" ht="15" customHeight="1">
      <c r="A344" s="571"/>
      <c r="B344" s="111"/>
      <c r="C344" s="572"/>
      <c r="D344" s="573"/>
      <c r="E344" s="572"/>
      <c r="F344" s="1056"/>
      <c r="H344" s="570"/>
      <c r="I344" s="570"/>
      <c r="J344" s="570"/>
      <c r="K344" s="570"/>
      <c r="L344" s="570"/>
      <c r="M344" s="570"/>
      <c r="N344" s="570"/>
      <c r="O344" s="570"/>
      <c r="P344" s="570"/>
      <c r="Q344" s="570"/>
      <c r="R344" s="570"/>
      <c r="S344" s="570"/>
      <c r="T344" s="570"/>
    </row>
    <row r="345" spans="1:20" s="569" customFormat="1" ht="15" customHeight="1">
      <c r="A345" s="571"/>
      <c r="B345" s="111"/>
      <c r="C345" s="572"/>
      <c r="D345" s="573"/>
      <c r="E345" s="572"/>
      <c r="F345" s="1056"/>
      <c r="H345" s="570"/>
      <c r="I345" s="570"/>
      <c r="J345" s="570"/>
      <c r="K345" s="570"/>
      <c r="L345" s="570"/>
      <c r="M345" s="570"/>
      <c r="N345" s="570"/>
      <c r="O345" s="570"/>
      <c r="P345" s="570"/>
      <c r="Q345" s="570"/>
      <c r="R345" s="570"/>
      <c r="S345" s="570"/>
      <c r="T345" s="570"/>
    </row>
    <row r="346" spans="1:20" s="569" customFormat="1" ht="15" customHeight="1">
      <c r="A346" s="571"/>
      <c r="B346" s="111"/>
      <c r="C346" s="572"/>
      <c r="D346" s="573"/>
      <c r="E346" s="572"/>
      <c r="F346" s="1056"/>
      <c r="H346" s="570"/>
      <c r="I346" s="570"/>
      <c r="J346" s="570"/>
      <c r="K346" s="570"/>
      <c r="L346" s="570"/>
      <c r="M346" s="570"/>
      <c r="N346" s="570"/>
      <c r="O346" s="570"/>
      <c r="P346" s="570"/>
      <c r="Q346" s="570"/>
      <c r="R346" s="570"/>
      <c r="S346" s="570"/>
      <c r="T346" s="570"/>
    </row>
    <row r="347" spans="1:20" s="569" customFormat="1" ht="15" customHeight="1">
      <c r="A347" s="571"/>
      <c r="B347" s="111"/>
      <c r="C347" s="572"/>
      <c r="D347" s="573"/>
      <c r="E347" s="572"/>
      <c r="F347" s="1056"/>
      <c r="H347" s="570"/>
      <c r="I347" s="570"/>
      <c r="J347" s="570"/>
      <c r="K347" s="570"/>
      <c r="L347" s="570"/>
      <c r="M347" s="570"/>
      <c r="N347" s="570"/>
      <c r="O347" s="570"/>
      <c r="P347" s="570"/>
      <c r="Q347" s="570"/>
      <c r="R347" s="570"/>
      <c r="S347" s="570"/>
      <c r="T347" s="570"/>
    </row>
    <row r="348" spans="1:20" s="569" customFormat="1" ht="15" customHeight="1">
      <c r="A348" s="571"/>
      <c r="B348" s="111"/>
      <c r="C348" s="572"/>
      <c r="D348" s="573"/>
      <c r="E348" s="572"/>
      <c r="F348" s="1056"/>
      <c r="H348" s="570"/>
      <c r="I348" s="570"/>
      <c r="J348" s="570"/>
      <c r="K348" s="570"/>
      <c r="L348" s="570"/>
      <c r="M348" s="570"/>
      <c r="N348" s="570"/>
      <c r="O348" s="570"/>
      <c r="P348" s="570"/>
      <c r="Q348" s="570"/>
      <c r="R348" s="570"/>
      <c r="S348" s="570"/>
      <c r="T348" s="570"/>
    </row>
    <row r="349" spans="1:20" s="569" customFormat="1" ht="15" customHeight="1">
      <c r="A349" s="571"/>
      <c r="B349" s="111"/>
      <c r="C349" s="572"/>
      <c r="D349" s="573"/>
      <c r="E349" s="572"/>
      <c r="F349" s="1056"/>
      <c r="H349" s="570"/>
      <c r="I349" s="570"/>
      <c r="J349" s="570"/>
      <c r="K349" s="570"/>
      <c r="L349" s="570"/>
      <c r="M349" s="570"/>
      <c r="N349" s="570"/>
      <c r="O349" s="570"/>
      <c r="P349" s="570"/>
      <c r="Q349" s="570"/>
      <c r="R349" s="570"/>
      <c r="S349" s="570"/>
      <c r="T349" s="570"/>
    </row>
    <row r="350" spans="1:20" s="569" customFormat="1" ht="15" customHeight="1">
      <c r="A350" s="571"/>
      <c r="B350" s="111"/>
      <c r="C350" s="572"/>
      <c r="D350" s="573"/>
      <c r="E350" s="572"/>
      <c r="F350" s="1056"/>
      <c r="H350" s="570"/>
      <c r="I350" s="570"/>
      <c r="J350" s="570"/>
      <c r="K350" s="570"/>
      <c r="L350" s="570"/>
      <c r="M350" s="570"/>
      <c r="N350" s="570"/>
      <c r="O350" s="570"/>
      <c r="P350" s="570"/>
      <c r="Q350" s="570"/>
      <c r="R350" s="570"/>
      <c r="S350" s="570"/>
      <c r="T350" s="570"/>
    </row>
    <row r="351" spans="1:20" s="569" customFormat="1" ht="15" customHeight="1">
      <c r="A351" s="571"/>
      <c r="B351" s="111"/>
      <c r="C351" s="572"/>
      <c r="D351" s="573"/>
      <c r="E351" s="572"/>
      <c r="F351" s="1056"/>
      <c r="H351" s="570"/>
      <c r="I351" s="570"/>
      <c r="J351" s="570"/>
      <c r="K351" s="570"/>
      <c r="L351" s="570"/>
      <c r="M351" s="570"/>
      <c r="N351" s="570"/>
      <c r="O351" s="570"/>
      <c r="P351" s="570"/>
      <c r="Q351" s="570"/>
      <c r="R351" s="570"/>
      <c r="S351" s="570"/>
      <c r="T351" s="570"/>
    </row>
    <row r="352" spans="1:20" s="569" customFormat="1" ht="15" customHeight="1">
      <c r="A352" s="571"/>
      <c r="B352" s="111"/>
      <c r="C352" s="572"/>
      <c r="D352" s="573"/>
      <c r="E352" s="572"/>
      <c r="F352" s="1056"/>
      <c r="H352" s="570"/>
      <c r="I352" s="570"/>
      <c r="J352" s="570"/>
      <c r="K352" s="570"/>
      <c r="L352" s="570"/>
      <c r="M352" s="570"/>
      <c r="N352" s="570"/>
      <c r="O352" s="570"/>
      <c r="P352" s="570"/>
      <c r="Q352" s="570"/>
      <c r="R352" s="570"/>
      <c r="S352" s="570"/>
      <c r="T352" s="570"/>
    </row>
    <row r="353" spans="1:20" s="569" customFormat="1" ht="15" customHeight="1">
      <c r="A353" s="571"/>
      <c r="B353" s="111"/>
      <c r="C353" s="572"/>
      <c r="D353" s="573"/>
      <c r="E353" s="572"/>
      <c r="F353" s="1056"/>
      <c r="H353" s="570"/>
      <c r="I353" s="570"/>
      <c r="J353" s="570"/>
      <c r="K353" s="570"/>
      <c r="L353" s="570"/>
      <c r="M353" s="570"/>
      <c r="N353" s="570"/>
      <c r="O353" s="570"/>
      <c r="P353" s="570"/>
      <c r="Q353" s="570"/>
      <c r="R353" s="570"/>
      <c r="S353" s="570"/>
      <c r="T353" s="570"/>
    </row>
    <row r="354" spans="1:20" s="569" customFormat="1" ht="15" customHeight="1">
      <c r="A354" s="571"/>
      <c r="B354" s="111"/>
      <c r="C354" s="572"/>
      <c r="D354" s="573"/>
      <c r="E354" s="572"/>
      <c r="F354" s="1056"/>
      <c r="H354" s="570"/>
      <c r="I354" s="570"/>
      <c r="J354" s="570"/>
      <c r="K354" s="570"/>
      <c r="L354" s="570"/>
      <c r="M354" s="570"/>
      <c r="N354" s="570"/>
      <c r="O354" s="570"/>
      <c r="P354" s="570"/>
      <c r="Q354" s="570"/>
      <c r="R354" s="570"/>
      <c r="S354" s="570"/>
      <c r="T354" s="570"/>
    </row>
    <row r="355" spans="1:20" s="569" customFormat="1" ht="15" customHeight="1">
      <c r="A355" s="571"/>
      <c r="B355" s="111"/>
      <c r="C355" s="572"/>
      <c r="D355" s="573"/>
      <c r="E355" s="572"/>
      <c r="F355" s="1056"/>
      <c r="H355" s="570"/>
      <c r="I355" s="570"/>
      <c r="J355" s="570"/>
      <c r="K355" s="570"/>
      <c r="L355" s="570"/>
      <c r="M355" s="570"/>
      <c r="N355" s="570"/>
      <c r="O355" s="570"/>
      <c r="P355" s="570"/>
      <c r="Q355" s="570"/>
      <c r="R355" s="570"/>
      <c r="S355" s="570"/>
      <c r="T355" s="570"/>
    </row>
    <row r="356" spans="1:20" s="569" customFormat="1" ht="15" customHeight="1">
      <c r="A356" s="571"/>
      <c r="B356" s="111"/>
      <c r="C356" s="572"/>
      <c r="D356" s="573"/>
      <c r="E356" s="572"/>
      <c r="F356" s="1056"/>
      <c r="H356" s="570"/>
      <c r="I356" s="570"/>
      <c r="J356" s="570"/>
      <c r="K356" s="570"/>
      <c r="L356" s="570"/>
      <c r="M356" s="570"/>
      <c r="N356" s="570"/>
      <c r="O356" s="570"/>
      <c r="P356" s="570"/>
      <c r="Q356" s="570"/>
      <c r="R356" s="570"/>
      <c r="S356" s="570"/>
      <c r="T356" s="570"/>
    </row>
    <row r="357" spans="1:20" s="569" customFormat="1" ht="15" customHeight="1">
      <c r="A357" s="571"/>
      <c r="B357" s="111"/>
      <c r="C357" s="572"/>
      <c r="D357" s="573"/>
      <c r="E357" s="572"/>
      <c r="F357" s="1056"/>
      <c r="H357" s="570"/>
      <c r="I357" s="570"/>
      <c r="J357" s="570"/>
      <c r="K357" s="570"/>
      <c r="L357" s="570"/>
      <c r="M357" s="570"/>
      <c r="N357" s="570"/>
      <c r="O357" s="570"/>
      <c r="P357" s="570"/>
      <c r="Q357" s="570"/>
      <c r="R357" s="570"/>
      <c r="S357" s="570"/>
      <c r="T357" s="570"/>
    </row>
    <row r="358" spans="1:20" s="569" customFormat="1" ht="15" customHeight="1">
      <c r="A358" s="571"/>
      <c r="B358" s="111"/>
      <c r="C358" s="572"/>
      <c r="D358" s="573"/>
      <c r="E358" s="572"/>
      <c r="F358" s="1056"/>
      <c r="H358" s="570"/>
      <c r="I358" s="570"/>
      <c r="J358" s="570"/>
      <c r="K358" s="570"/>
      <c r="L358" s="570"/>
      <c r="M358" s="570"/>
      <c r="N358" s="570"/>
      <c r="O358" s="570"/>
      <c r="P358" s="570"/>
      <c r="Q358" s="570"/>
      <c r="R358" s="570"/>
      <c r="S358" s="570"/>
      <c r="T358" s="570"/>
    </row>
    <row r="359" spans="1:20" s="569" customFormat="1" ht="15" customHeight="1">
      <c r="A359" s="571"/>
      <c r="B359" s="111"/>
      <c r="C359" s="572"/>
      <c r="D359" s="573"/>
      <c r="E359" s="572"/>
      <c r="F359" s="1056"/>
      <c r="H359" s="570"/>
      <c r="I359" s="570"/>
      <c r="J359" s="570"/>
      <c r="K359" s="570"/>
      <c r="L359" s="570"/>
      <c r="M359" s="570"/>
      <c r="N359" s="570"/>
      <c r="O359" s="570"/>
      <c r="P359" s="570"/>
      <c r="Q359" s="570"/>
      <c r="R359" s="570"/>
      <c r="S359" s="570"/>
      <c r="T359" s="570"/>
    </row>
    <row r="360" spans="1:20" s="569" customFormat="1" ht="15" customHeight="1">
      <c r="A360" s="571"/>
      <c r="B360" s="111"/>
      <c r="C360" s="572"/>
      <c r="D360" s="573"/>
      <c r="E360" s="572"/>
      <c r="F360" s="1056"/>
      <c r="H360" s="570"/>
      <c r="I360" s="570"/>
      <c r="J360" s="570"/>
      <c r="K360" s="570"/>
      <c r="L360" s="570"/>
      <c r="M360" s="570"/>
      <c r="N360" s="570"/>
      <c r="O360" s="570"/>
      <c r="P360" s="570"/>
      <c r="Q360" s="570"/>
      <c r="R360" s="570"/>
      <c r="S360" s="570"/>
      <c r="T360" s="570"/>
    </row>
    <row r="361" spans="1:20" s="569" customFormat="1" ht="15" customHeight="1">
      <c r="A361" s="571"/>
      <c r="B361" s="111"/>
      <c r="C361" s="572"/>
      <c r="D361" s="573"/>
      <c r="E361" s="572"/>
      <c r="F361" s="1056"/>
      <c r="H361" s="570"/>
      <c r="I361" s="570"/>
      <c r="J361" s="570"/>
      <c r="K361" s="570"/>
      <c r="L361" s="570"/>
      <c r="M361" s="570"/>
      <c r="N361" s="570"/>
      <c r="O361" s="570"/>
      <c r="P361" s="570"/>
      <c r="Q361" s="570"/>
      <c r="R361" s="570"/>
      <c r="S361" s="570"/>
      <c r="T361" s="570"/>
    </row>
    <row r="362" spans="1:20" s="569" customFormat="1" ht="15" customHeight="1">
      <c r="A362" s="571"/>
      <c r="B362" s="111"/>
      <c r="C362" s="572"/>
      <c r="D362" s="573"/>
      <c r="E362" s="572"/>
      <c r="F362" s="1056"/>
      <c r="H362" s="570"/>
      <c r="I362" s="570"/>
      <c r="J362" s="570"/>
      <c r="K362" s="570"/>
      <c r="L362" s="570"/>
      <c r="M362" s="570"/>
      <c r="N362" s="570"/>
      <c r="O362" s="570"/>
      <c r="P362" s="570"/>
      <c r="Q362" s="570"/>
      <c r="R362" s="570"/>
      <c r="S362" s="570"/>
      <c r="T362" s="570"/>
    </row>
    <row r="363" spans="1:20" s="569" customFormat="1" ht="15" customHeight="1">
      <c r="A363" s="571"/>
      <c r="B363" s="111"/>
      <c r="C363" s="572"/>
      <c r="D363" s="573"/>
      <c r="E363" s="572"/>
      <c r="F363" s="1056"/>
      <c r="H363" s="570"/>
      <c r="I363" s="570"/>
      <c r="J363" s="570"/>
      <c r="K363" s="570"/>
      <c r="L363" s="570"/>
      <c r="M363" s="570"/>
      <c r="N363" s="570"/>
      <c r="O363" s="570"/>
      <c r="P363" s="570"/>
      <c r="Q363" s="570"/>
      <c r="R363" s="570"/>
      <c r="S363" s="570"/>
      <c r="T363" s="570"/>
    </row>
    <row r="364" spans="1:20" s="569" customFormat="1" ht="15" customHeight="1">
      <c r="A364" s="571"/>
      <c r="B364" s="111"/>
      <c r="C364" s="572"/>
      <c r="D364" s="573"/>
      <c r="E364" s="572"/>
      <c r="F364" s="1056"/>
      <c r="H364" s="570"/>
      <c r="I364" s="570"/>
      <c r="J364" s="570"/>
      <c r="K364" s="570"/>
      <c r="L364" s="570"/>
      <c r="M364" s="570"/>
      <c r="N364" s="570"/>
      <c r="O364" s="570"/>
      <c r="P364" s="570"/>
      <c r="Q364" s="570"/>
      <c r="R364" s="570"/>
      <c r="S364" s="570"/>
      <c r="T364" s="570"/>
    </row>
    <row r="365" spans="1:20" s="569" customFormat="1" ht="15" customHeight="1">
      <c r="A365" s="571"/>
      <c r="B365" s="111"/>
      <c r="C365" s="572"/>
      <c r="D365" s="573"/>
      <c r="E365" s="572"/>
      <c r="F365" s="1056"/>
      <c r="H365" s="570"/>
      <c r="I365" s="570"/>
      <c r="J365" s="570"/>
      <c r="K365" s="570"/>
      <c r="L365" s="570"/>
      <c r="M365" s="570"/>
      <c r="N365" s="570"/>
      <c r="O365" s="570"/>
      <c r="P365" s="570"/>
      <c r="Q365" s="570"/>
      <c r="R365" s="570"/>
      <c r="S365" s="570"/>
      <c r="T365" s="570"/>
    </row>
    <row r="366" spans="1:20" s="569" customFormat="1" ht="15" customHeight="1">
      <c r="A366" s="571"/>
      <c r="B366" s="111"/>
      <c r="C366" s="572"/>
      <c r="D366" s="573"/>
      <c r="E366" s="572"/>
      <c r="F366" s="1056"/>
      <c r="H366" s="570"/>
      <c r="I366" s="570"/>
      <c r="J366" s="570"/>
      <c r="K366" s="570"/>
      <c r="L366" s="570"/>
      <c r="M366" s="570"/>
      <c r="N366" s="570"/>
      <c r="O366" s="570"/>
      <c r="P366" s="570"/>
      <c r="Q366" s="570"/>
      <c r="R366" s="570"/>
      <c r="S366" s="570"/>
      <c r="T366" s="570"/>
    </row>
    <row r="367" spans="1:20" s="569" customFormat="1" ht="15" customHeight="1">
      <c r="A367" s="571"/>
      <c r="B367" s="111"/>
      <c r="C367" s="572"/>
      <c r="D367" s="573"/>
      <c r="E367" s="572"/>
      <c r="F367" s="1056"/>
      <c r="H367" s="570"/>
      <c r="I367" s="570"/>
      <c r="J367" s="570"/>
      <c r="K367" s="570"/>
      <c r="L367" s="570"/>
      <c r="M367" s="570"/>
      <c r="N367" s="570"/>
      <c r="O367" s="570"/>
      <c r="P367" s="570"/>
      <c r="Q367" s="570"/>
      <c r="R367" s="570"/>
      <c r="S367" s="570"/>
      <c r="T367" s="570"/>
    </row>
    <row r="368" spans="1:20" s="569" customFormat="1" ht="15" customHeight="1">
      <c r="A368" s="571"/>
      <c r="B368" s="111"/>
      <c r="C368" s="572"/>
      <c r="D368" s="573"/>
      <c r="E368" s="572"/>
      <c r="F368" s="1056"/>
      <c r="H368" s="570"/>
      <c r="I368" s="570"/>
      <c r="J368" s="570"/>
      <c r="K368" s="570"/>
      <c r="L368" s="570"/>
      <c r="M368" s="570"/>
      <c r="N368" s="570"/>
      <c r="O368" s="570"/>
      <c r="P368" s="570"/>
      <c r="Q368" s="570"/>
      <c r="R368" s="570"/>
      <c r="S368" s="570"/>
      <c r="T368" s="570"/>
    </row>
    <row r="369" spans="1:20" s="569" customFormat="1" ht="15" customHeight="1">
      <c r="A369" s="571"/>
      <c r="B369" s="111"/>
      <c r="C369" s="572"/>
      <c r="D369" s="573"/>
      <c r="E369" s="572"/>
      <c r="F369" s="1056"/>
      <c r="H369" s="570"/>
      <c r="I369" s="570"/>
      <c r="J369" s="570"/>
      <c r="K369" s="570"/>
      <c r="L369" s="570"/>
      <c r="M369" s="570"/>
      <c r="N369" s="570"/>
      <c r="O369" s="570"/>
      <c r="P369" s="570"/>
      <c r="Q369" s="570"/>
      <c r="R369" s="570"/>
      <c r="S369" s="570"/>
      <c r="T369" s="570"/>
    </row>
    <row r="370" spans="1:20" s="569" customFormat="1" ht="15" customHeight="1">
      <c r="A370" s="571"/>
      <c r="B370" s="111"/>
      <c r="C370" s="572"/>
      <c r="D370" s="573"/>
      <c r="E370" s="572"/>
      <c r="F370" s="1056"/>
      <c r="H370" s="570"/>
      <c r="I370" s="570"/>
      <c r="J370" s="570"/>
      <c r="K370" s="570"/>
      <c r="L370" s="570"/>
      <c r="M370" s="570"/>
      <c r="N370" s="570"/>
      <c r="O370" s="570"/>
      <c r="P370" s="570"/>
      <c r="Q370" s="570"/>
      <c r="R370" s="570"/>
      <c r="S370" s="570"/>
      <c r="T370" s="570"/>
    </row>
    <row r="371" spans="1:20" s="569" customFormat="1" ht="15" customHeight="1">
      <c r="A371" s="571"/>
      <c r="B371" s="111"/>
      <c r="C371" s="572"/>
      <c r="D371" s="573"/>
      <c r="E371" s="572"/>
      <c r="F371" s="1056"/>
      <c r="H371" s="570"/>
      <c r="I371" s="570"/>
      <c r="J371" s="570"/>
      <c r="K371" s="570"/>
      <c r="L371" s="570"/>
      <c r="M371" s="570"/>
      <c r="N371" s="570"/>
      <c r="O371" s="570"/>
      <c r="P371" s="570"/>
      <c r="Q371" s="570"/>
      <c r="R371" s="570"/>
      <c r="S371" s="570"/>
      <c r="T371" s="570"/>
    </row>
    <row r="372" spans="1:20" s="569" customFormat="1" ht="15" customHeight="1">
      <c r="A372" s="571"/>
      <c r="B372" s="111"/>
      <c r="C372" s="572"/>
      <c r="D372" s="573"/>
      <c r="E372" s="572"/>
      <c r="F372" s="1056"/>
      <c r="H372" s="570"/>
      <c r="I372" s="570"/>
      <c r="J372" s="570"/>
      <c r="K372" s="570"/>
      <c r="L372" s="570"/>
      <c r="M372" s="570"/>
      <c r="N372" s="570"/>
      <c r="O372" s="570"/>
      <c r="P372" s="570"/>
      <c r="Q372" s="570"/>
      <c r="R372" s="570"/>
      <c r="S372" s="570"/>
      <c r="T372" s="570"/>
    </row>
    <row r="373" spans="1:20" s="569" customFormat="1" ht="15" customHeight="1">
      <c r="A373" s="571"/>
      <c r="B373" s="111"/>
      <c r="C373" s="572"/>
      <c r="D373" s="573"/>
      <c r="E373" s="572"/>
      <c r="F373" s="1056"/>
      <c r="H373" s="570"/>
      <c r="I373" s="570"/>
      <c r="J373" s="570"/>
      <c r="K373" s="570"/>
      <c r="L373" s="570"/>
      <c r="M373" s="570"/>
      <c r="N373" s="570"/>
      <c r="O373" s="570"/>
      <c r="P373" s="570"/>
      <c r="Q373" s="570"/>
      <c r="R373" s="570"/>
      <c r="S373" s="570"/>
      <c r="T373" s="570"/>
    </row>
    <row r="374" spans="1:20" s="569" customFormat="1" ht="15" customHeight="1">
      <c r="A374" s="571"/>
      <c r="B374" s="111"/>
      <c r="C374" s="572"/>
      <c r="D374" s="573"/>
      <c r="E374" s="572"/>
      <c r="F374" s="1056"/>
      <c r="H374" s="570"/>
      <c r="I374" s="570"/>
      <c r="J374" s="570"/>
      <c r="K374" s="570"/>
      <c r="L374" s="570"/>
      <c r="M374" s="570"/>
      <c r="N374" s="570"/>
      <c r="O374" s="570"/>
      <c r="P374" s="570"/>
      <c r="Q374" s="570"/>
      <c r="R374" s="570"/>
      <c r="S374" s="570"/>
      <c r="T374" s="570"/>
    </row>
    <row r="375" spans="1:20" s="569" customFormat="1" ht="15" customHeight="1">
      <c r="A375" s="571"/>
      <c r="B375" s="111"/>
      <c r="C375" s="572"/>
      <c r="D375" s="573"/>
      <c r="E375" s="572"/>
      <c r="F375" s="1056"/>
      <c r="H375" s="570"/>
      <c r="I375" s="570"/>
      <c r="J375" s="570"/>
      <c r="K375" s="570"/>
      <c r="L375" s="570"/>
      <c r="M375" s="570"/>
      <c r="N375" s="570"/>
      <c r="O375" s="570"/>
      <c r="P375" s="570"/>
      <c r="Q375" s="570"/>
      <c r="R375" s="570"/>
      <c r="S375" s="570"/>
      <c r="T375" s="570"/>
    </row>
    <row r="376" spans="1:20" s="569" customFormat="1" ht="15" customHeight="1">
      <c r="A376" s="571"/>
      <c r="B376" s="111"/>
      <c r="C376" s="572"/>
      <c r="D376" s="573"/>
      <c r="E376" s="572"/>
      <c r="F376" s="1056"/>
      <c r="H376" s="570"/>
      <c r="I376" s="570"/>
      <c r="J376" s="570"/>
      <c r="K376" s="570"/>
      <c r="L376" s="570"/>
      <c r="M376" s="570"/>
      <c r="N376" s="570"/>
      <c r="O376" s="570"/>
      <c r="P376" s="570"/>
      <c r="Q376" s="570"/>
      <c r="R376" s="570"/>
      <c r="S376" s="570"/>
      <c r="T376" s="570"/>
    </row>
    <row r="377" spans="1:20" s="569" customFormat="1" ht="15" customHeight="1">
      <c r="A377" s="571"/>
      <c r="B377" s="111"/>
      <c r="C377" s="572"/>
      <c r="D377" s="573"/>
      <c r="E377" s="572"/>
      <c r="F377" s="1056"/>
      <c r="H377" s="570"/>
      <c r="I377" s="570"/>
      <c r="J377" s="570"/>
      <c r="K377" s="570"/>
      <c r="L377" s="570"/>
      <c r="M377" s="570"/>
      <c r="N377" s="570"/>
      <c r="O377" s="570"/>
      <c r="P377" s="570"/>
      <c r="Q377" s="570"/>
      <c r="R377" s="570"/>
      <c r="S377" s="570"/>
      <c r="T377" s="570"/>
    </row>
    <row r="378" spans="1:20" s="569" customFormat="1" ht="15" customHeight="1">
      <c r="A378" s="571"/>
      <c r="B378" s="111"/>
      <c r="C378" s="572"/>
      <c r="D378" s="573"/>
      <c r="E378" s="572"/>
      <c r="F378" s="1056"/>
      <c r="H378" s="570"/>
      <c r="I378" s="570"/>
      <c r="J378" s="570"/>
      <c r="K378" s="570"/>
      <c r="L378" s="570"/>
      <c r="M378" s="570"/>
      <c r="N378" s="570"/>
      <c r="O378" s="570"/>
      <c r="P378" s="570"/>
      <c r="Q378" s="570"/>
      <c r="R378" s="570"/>
      <c r="S378" s="570"/>
      <c r="T378" s="570"/>
    </row>
    <row r="379" spans="1:20" s="569" customFormat="1" ht="15" customHeight="1">
      <c r="A379" s="571"/>
      <c r="B379" s="111"/>
      <c r="C379" s="572"/>
      <c r="D379" s="573"/>
      <c r="E379" s="572"/>
      <c r="F379" s="1056"/>
      <c r="H379" s="570"/>
      <c r="I379" s="570"/>
      <c r="J379" s="570"/>
      <c r="K379" s="570"/>
      <c r="L379" s="570"/>
      <c r="M379" s="570"/>
      <c r="N379" s="570"/>
      <c r="O379" s="570"/>
      <c r="P379" s="570"/>
      <c r="Q379" s="570"/>
      <c r="R379" s="570"/>
      <c r="S379" s="570"/>
      <c r="T379" s="570"/>
    </row>
    <row r="380" spans="1:20" s="569" customFormat="1" ht="15" customHeight="1">
      <c r="A380" s="571"/>
      <c r="B380" s="111"/>
      <c r="C380" s="572"/>
      <c r="D380" s="573"/>
      <c r="E380" s="572"/>
      <c r="F380" s="1056"/>
      <c r="H380" s="570"/>
      <c r="I380" s="570"/>
      <c r="J380" s="570"/>
      <c r="K380" s="570"/>
      <c r="L380" s="570"/>
      <c r="M380" s="570"/>
      <c r="N380" s="570"/>
      <c r="O380" s="570"/>
      <c r="P380" s="570"/>
      <c r="Q380" s="570"/>
      <c r="R380" s="570"/>
      <c r="S380" s="570"/>
      <c r="T380" s="570"/>
    </row>
    <row r="381" spans="1:20" s="569" customFormat="1" ht="15" customHeight="1">
      <c r="A381" s="571"/>
      <c r="B381" s="111"/>
      <c r="C381" s="572"/>
      <c r="D381" s="573"/>
      <c r="E381" s="572"/>
      <c r="F381" s="1056"/>
      <c r="H381" s="570"/>
      <c r="I381" s="570"/>
      <c r="J381" s="570"/>
      <c r="K381" s="570"/>
      <c r="L381" s="570"/>
      <c r="M381" s="570"/>
      <c r="N381" s="570"/>
      <c r="O381" s="570"/>
      <c r="P381" s="570"/>
      <c r="Q381" s="570"/>
      <c r="R381" s="570"/>
      <c r="S381" s="570"/>
      <c r="T381" s="570"/>
    </row>
    <row r="382" spans="1:20" s="569" customFormat="1" ht="15" customHeight="1">
      <c r="A382" s="571"/>
      <c r="B382" s="111"/>
      <c r="C382" s="572"/>
      <c r="D382" s="573"/>
      <c r="E382" s="572"/>
      <c r="F382" s="1056"/>
      <c r="H382" s="570"/>
      <c r="I382" s="570"/>
      <c r="J382" s="570"/>
      <c r="K382" s="570"/>
      <c r="L382" s="570"/>
      <c r="M382" s="570"/>
      <c r="N382" s="570"/>
      <c r="O382" s="570"/>
      <c r="P382" s="570"/>
      <c r="Q382" s="570"/>
      <c r="R382" s="570"/>
      <c r="S382" s="570"/>
      <c r="T382" s="570"/>
    </row>
    <row r="383" spans="1:20" s="569" customFormat="1" ht="15" customHeight="1">
      <c r="A383" s="571"/>
      <c r="B383" s="111"/>
      <c r="C383" s="572"/>
      <c r="D383" s="573"/>
      <c r="E383" s="572"/>
      <c r="F383" s="1056"/>
      <c r="H383" s="570"/>
      <c r="I383" s="570"/>
      <c r="J383" s="570"/>
      <c r="K383" s="570"/>
      <c r="L383" s="570"/>
      <c r="M383" s="570"/>
      <c r="N383" s="570"/>
      <c r="O383" s="570"/>
      <c r="P383" s="570"/>
      <c r="Q383" s="570"/>
      <c r="R383" s="570"/>
      <c r="S383" s="570"/>
      <c r="T383" s="570"/>
    </row>
    <row r="384" spans="1:20" s="569" customFormat="1" ht="15" customHeight="1">
      <c r="A384" s="571"/>
      <c r="B384" s="111"/>
      <c r="C384" s="572"/>
      <c r="D384" s="573"/>
      <c r="E384" s="572"/>
      <c r="F384" s="1056"/>
      <c r="H384" s="570"/>
      <c r="I384" s="570"/>
      <c r="J384" s="570"/>
      <c r="K384" s="570"/>
      <c r="L384" s="570"/>
      <c r="M384" s="570"/>
      <c r="N384" s="570"/>
      <c r="O384" s="570"/>
      <c r="P384" s="570"/>
      <c r="Q384" s="570"/>
      <c r="R384" s="570"/>
      <c r="S384" s="570"/>
      <c r="T384" s="570"/>
    </row>
    <row r="385" spans="1:20" s="569" customFormat="1" ht="15" customHeight="1">
      <c r="A385" s="571"/>
      <c r="B385" s="111"/>
      <c r="C385" s="572"/>
      <c r="D385" s="573"/>
      <c r="E385" s="572"/>
      <c r="F385" s="1056"/>
      <c r="H385" s="570"/>
      <c r="I385" s="570"/>
      <c r="J385" s="570"/>
      <c r="K385" s="570"/>
      <c r="L385" s="570"/>
      <c r="M385" s="570"/>
      <c r="N385" s="570"/>
      <c r="O385" s="570"/>
      <c r="P385" s="570"/>
      <c r="Q385" s="570"/>
      <c r="R385" s="570"/>
      <c r="S385" s="570"/>
      <c r="T385" s="570"/>
    </row>
    <row r="386" spans="1:20" s="569" customFormat="1" ht="15" customHeight="1">
      <c r="A386" s="571"/>
      <c r="B386" s="111"/>
      <c r="C386" s="572"/>
      <c r="D386" s="573"/>
      <c r="E386" s="572"/>
      <c r="F386" s="1056"/>
      <c r="H386" s="570"/>
      <c r="I386" s="570"/>
      <c r="J386" s="570"/>
      <c r="K386" s="570"/>
      <c r="L386" s="570"/>
      <c r="M386" s="570"/>
      <c r="N386" s="570"/>
      <c r="O386" s="570"/>
      <c r="P386" s="570"/>
      <c r="Q386" s="570"/>
      <c r="R386" s="570"/>
      <c r="S386" s="570"/>
      <c r="T386" s="570"/>
    </row>
    <row r="387" spans="1:20" s="569" customFormat="1" ht="15" customHeight="1">
      <c r="A387" s="571"/>
      <c r="B387" s="111"/>
      <c r="C387" s="572"/>
      <c r="D387" s="573"/>
      <c r="E387" s="572"/>
      <c r="F387" s="1056"/>
      <c r="H387" s="570"/>
      <c r="I387" s="570"/>
      <c r="J387" s="570"/>
      <c r="K387" s="570"/>
      <c r="L387" s="570"/>
      <c r="M387" s="570"/>
      <c r="N387" s="570"/>
      <c r="O387" s="570"/>
      <c r="P387" s="570"/>
      <c r="Q387" s="570"/>
      <c r="R387" s="570"/>
      <c r="S387" s="570"/>
      <c r="T387" s="570"/>
    </row>
    <row r="388" spans="1:20" s="569" customFormat="1" ht="15" customHeight="1">
      <c r="A388" s="571"/>
      <c r="B388" s="111"/>
      <c r="C388" s="572"/>
      <c r="D388" s="573"/>
      <c r="E388" s="572"/>
      <c r="F388" s="1056"/>
      <c r="H388" s="570"/>
      <c r="I388" s="570"/>
      <c r="J388" s="570"/>
      <c r="K388" s="570"/>
      <c r="L388" s="570"/>
      <c r="M388" s="570"/>
      <c r="N388" s="570"/>
      <c r="O388" s="570"/>
      <c r="P388" s="570"/>
      <c r="Q388" s="570"/>
      <c r="R388" s="570"/>
      <c r="S388" s="570"/>
      <c r="T388" s="570"/>
    </row>
    <row r="389" spans="1:20" s="569" customFormat="1" ht="15" customHeight="1">
      <c r="A389" s="571"/>
      <c r="B389" s="111"/>
      <c r="C389" s="572"/>
      <c r="D389" s="573"/>
      <c r="E389" s="572"/>
      <c r="F389" s="1056"/>
      <c r="H389" s="570"/>
      <c r="I389" s="570"/>
      <c r="J389" s="570"/>
      <c r="K389" s="570"/>
      <c r="L389" s="570"/>
      <c r="M389" s="570"/>
      <c r="N389" s="570"/>
      <c r="O389" s="570"/>
      <c r="P389" s="570"/>
      <c r="Q389" s="570"/>
      <c r="R389" s="570"/>
      <c r="S389" s="570"/>
      <c r="T389" s="570"/>
    </row>
    <row r="390" spans="1:20" s="569" customFormat="1" ht="15" customHeight="1">
      <c r="A390" s="571"/>
      <c r="B390" s="111"/>
      <c r="C390" s="572"/>
      <c r="D390" s="573"/>
      <c r="E390" s="572"/>
      <c r="F390" s="1056"/>
      <c r="H390" s="570"/>
      <c r="I390" s="570"/>
      <c r="J390" s="570"/>
      <c r="K390" s="570"/>
      <c r="L390" s="570"/>
      <c r="M390" s="570"/>
      <c r="N390" s="570"/>
      <c r="O390" s="570"/>
      <c r="P390" s="570"/>
      <c r="Q390" s="570"/>
      <c r="R390" s="570"/>
      <c r="S390" s="570"/>
      <c r="T390" s="570"/>
    </row>
    <row r="391" spans="1:20" s="569" customFormat="1" ht="15" customHeight="1">
      <c r="A391" s="571"/>
      <c r="B391" s="111"/>
      <c r="C391" s="572"/>
      <c r="D391" s="573"/>
      <c r="E391" s="572"/>
      <c r="F391" s="1056"/>
      <c r="H391" s="570"/>
      <c r="I391" s="570"/>
      <c r="J391" s="570"/>
      <c r="K391" s="570"/>
      <c r="L391" s="570"/>
      <c r="M391" s="570"/>
      <c r="N391" s="570"/>
      <c r="O391" s="570"/>
      <c r="P391" s="570"/>
      <c r="Q391" s="570"/>
      <c r="R391" s="570"/>
      <c r="S391" s="570"/>
      <c r="T391" s="570"/>
    </row>
    <row r="392" spans="1:20" s="569" customFormat="1" ht="15" customHeight="1">
      <c r="A392" s="571"/>
      <c r="B392" s="111"/>
      <c r="C392" s="572"/>
      <c r="D392" s="573"/>
      <c r="E392" s="572"/>
      <c r="F392" s="1056"/>
      <c r="H392" s="570"/>
      <c r="I392" s="570"/>
      <c r="J392" s="570"/>
      <c r="K392" s="570"/>
      <c r="L392" s="570"/>
      <c r="M392" s="570"/>
      <c r="N392" s="570"/>
      <c r="O392" s="570"/>
      <c r="P392" s="570"/>
      <c r="Q392" s="570"/>
      <c r="R392" s="570"/>
      <c r="S392" s="570"/>
      <c r="T392" s="570"/>
    </row>
    <row r="393" spans="1:20" s="569" customFormat="1" ht="15" customHeight="1">
      <c r="A393" s="571"/>
      <c r="B393" s="111"/>
      <c r="C393" s="572"/>
      <c r="D393" s="573"/>
      <c r="E393" s="572"/>
      <c r="F393" s="1056"/>
      <c r="H393" s="570"/>
      <c r="I393" s="570"/>
      <c r="J393" s="570"/>
      <c r="K393" s="570"/>
      <c r="L393" s="570"/>
      <c r="M393" s="570"/>
      <c r="N393" s="570"/>
      <c r="O393" s="570"/>
      <c r="P393" s="570"/>
      <c r="Q393" s="570"/>
      <c r="R393" s="570"/>
      <c r="S393" s="570"/>
      <c r="T393" s="570"/>
    </row>
    <row r="394" spans="1:20" s="569" customFormat="1" ht="15" customHeight="1">
      <c r="A394" s="571"/>
      <c r="B394" s="111"/>
      <c r="C394" s="572"/>
      <c r="D394" s="573"/>
      <c r="E394" s="572"/>
      <c r="F394" s="1056"/>
      <c r="H394" s="570"/>
      <c r="I394" s="570"/>
      <c r="J394" s="570"/>
      <c r="K394" s="570"/>
      <c r="L394" s="570"/>
      <c r="M394" s="570"/>
      <c r="N394" s="570"/>
      <c r="O394" s="570"/>
      <c r="P394" s="570"/>
      <c r="Q394" s="570"/>
      <c r="R394" s="570"/>
      <c r="S394" s="570"/>
      <c r="T394" s="570"/>
    </row>
    <row r="395" spans="1:20" s="569" customFormat="1" ht="15" customHeight="1">
      <c r="A395" s="571"/>
      <c r="B395" s="111"/>
      <c r="C395" s="572"/>
      <c r="D395" s="573"/>
      <c r="E395" s="572"/>
      <c r="F395" s="1056"/>
      <c r="H395" s="570"/>
      <c r="I395" s="570"/>
      <c r="J395" s="570"/>
      <c r="K395" s="570"/>
      <c r="L395" s="570"/>
      <c r="M395" s="570"/>
      <c r="N395" s="570"/>
      <c r="O395" s="570"/>
      <c r="P395" s="570"/>
      <c r="Q395" s="570"/>
      <c r="R395" s="570"/>
      <c r="S395" s="570"/>
      <c r="T395" s="570"/>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1"/>
  <sheetViews>
    <sheetView showWhiteSpace="0" view="pageBreakPreview" zoomScale="107" zoomScaleNormal="100" zoomScaleSheetLayoutView="107" workbookViewId="0">
      <pane xSplit="1" ySplit="1" topLeftCell="B2" activePane="bottomRight" state="frozen"/>
      <selection pane="topRight" activeCell="B1" sqref="B1"/>
      <selection pane="bottomLeft" activeCell="A2" sqref="A2"/>
      <selection pane="bottomRight" activeCell="G1" sqref="G1:L1048576"/>
    </sheetView>
  </sheetViews>
  <sheetFormatPr defaultColWidth="8.90625" defaultRowHeight="14.5"/>
  <cols>
    <col min="1" max="1" width="7.6328125" style="222" bestFit="1" customWidth="1"/>
    <col min="2" max="2" width="51.08984375" style="966" customWidth="1"/>
    <col min="3" max="3" width="5.1796875" style="101" bestFit="1" customWidth="1"/>
    <col min="4" max="4" width="7.1796875" style="963" bestFit="1" customWidth="1"/>
    <col min="5" max="5" width="6.54296875" style="222" bestFit="1" customWidth="1"/>
    <col min="6" max="6" width="12.54296875" style="938" bestFit="1" customWidth="1"/>
    <col min="7" max="7" width="8.90625" style="101"/>
    <col min="8" max="8" width="9.36328125" style="101" bestFit="1" customWidth="1"/>
    <col min="9" max="16384" width="8.90625" style="101"/>
  </cols>
  <sheetData>
    <row r="1" spans="1:6">
      <c r="A1" s="831" t="s">
        <v>0</v>
      </c>
      <c r="B1" s="832" t="s">
        <v>1</v>
      </c>
      <c r="C1" s="833" t="s">
        <v>2</v>
      </c>
      <c r="D1" s="942" t="s">
        <v>426</v>
      </c>
      <c r="E1" s="834" t="s">
        <v>368</v>
      </c>
      <c r="F1" s="835" t="s">
        <v>472</v>
      </c>
    </row>
    <row r="2" spans="1:6">
      <c r="A2" s="836"/>
      <c r="B2" s="837" t="s">
        <v>1744</v>
      </c>
      <c r="C2" s="838"/>
      <c r="D2" s="943"/>
      <c r="E2" s="839"/>
      <c r="F2" s="840"/>
    </row>
    <row r="3" spans="1:6">
      <c r="A3" s="836"/>
      <c r="B3" s="841" t="s">
        <v>1745</v>
      </c>
      <c r="C3" s="838"/>
      <c r="D3" s="943"/>
      <c r="E3" s="839"/>
      <c r="F3" s="840"/>
    </row>
    <row r="4" spans="1:6">
      <c r="A4" s="836"/>
      <c r="B4" s="841"/>
      <c r="C4" s="838"/>
      <c r="D4" s="943"/>
      <c r="E4" s="839"/>
      <c r="F4" s="840"/>
    </row>
    <row r="5" spans="1:6">
      <c r="A5" s="842">
        <v>17</v>
      </c>
      <c r="B5" s="837" t="s">
        <v>1572</v>
      </c>
      <c r="C5" s="843"/>
      <c r="D5" s="943"/>
      <c r="E5" s="844"/>
      <c r="F5" s="845"/>
    </row>
    <row r="6" spans="1:6">
      <c r="A6" s="842"/>
      <c r="B6" s="846"/>
      <c r="C6" s="843"/>
      <c r="D6" s="943"/>
      <c r="E6" s="844"/>
      <c r="F6" s="845"/>
    </row>
    <row r="7" spans="1:6">
      <c r="A7" s="842">
        <v>17.100000000000001</v>
      </c>
      <c r="B7" s="837" t="s">
        <v>437</v>
      </c>
      <c r="C7" s="843"/>
      <c r="D7" s="943"/>
      <c r="E7" s="844"/>
      <c r="F7" s="845"/>
    </row>
    <row r="8" spans="1:6" ht="16.5">
      <c r="A8" s="842" t="s">
        <v>1746</v>
      </c>
      <c r="B8" s="847" t="s">
        <v>609</v>
      </c>
      <c r="C8" s="848" t="s">
        <v>588</v>
      </c>
      <c r="D8" s="943">
        <f>4.2*3*6.5</f>
        <v>81.900000000000006</v>
      </c>
      <c r="E8" s="844"/>
      <c r="F8" s="845">
        <f>D8*E8</f>
        <v>0</v>
      </c>
    </row>
    <row r="9" spans="1:6" ht="29">
      <c r="A9" s="836" t="s">
        <v>1747</v>
      </c>
      <c r="B9" s="847" t="s">
        <v>438</v>
      </c>
      <c r="C9" s="848" t="s">
        <v>588</v>
      </c>
      <c r="D9" s="943">
        <f>D8</f>
        <v>81.900000000000006</v>
      </c>
      <c r="E9" s="844"/>
      <c r="F9" s="845">
        <f>D9*E9</f>
        <v>0</v>
      </c>
    </row>
    <row r="10" spans="1:6" ht="29">
      <c r="A10" s="842" t="s">
        <v>1748</v>
      </c>
      <c r="B10" s="847" t="s">
        <v>1573</v>
      </c>
      <c r="C10" s="848" t="s">
        <v>1574</v>
      </c>
      <c r="D10" s="943">
        <f>CEILING((6.5*3+12.6*3)*0.4*0.4,1)</f>
        <v>10</v>
      </c>
      <c r="E10" s="844"/>
      <c r="F10" s="845">
        <f t="shared" ref="F10" si="0">D10*E10</f>
        <v>0</v>
      </c>
    </row>
    <row r="11" spans="1:6" ht="29">
      <c r="A11" s="842" t="s">
        <v>1749</v>
      </c>
      <c r="B11" s="847" t="s">
        <v>1052</v>
      </c>
      <c r="C11" s="848" t="s">
        <v>588</v>
      </c>
      <c r="D11" s="943">
        <f>CEILING((6.5*3+12.6*3)*0.8,1)</f>
        <v>46</v>
      </c>
      <c r="E11" s="844"/>
      <c r="F11" s="845">
        <f>D11*E11</f>
        <v>0</v>
      </c>
    </row>
    <row r="12" spans="1:6">
      <c r="A12" s="842"/>
      <c r="B12" s="837" t="s">
        <v>610</v>
      </c>
      <c r="C12" s="848"/>
      <c r="D12" s="943"/>
      <c r="E12" s="844"/>
      <c r="F12" s="849"/>
    </row>
    <row r="13" spans="1:6" ht="29">
      <c r="A13" s="842" t="s">
        <v>1750</v>
      </c>
      <c r="B13" s="847" t="s">
        <v>611</v>
      </c>
      <c r="C13" s="848" t="s">
        <v>588</v>
      </c>
      <c r="D13" s="943">
        <f>D9</f>
        <v>81.900000000000006</v>
      </c>
      <c r="E13" s="844"/>
      <c r="F13" s="845">
        <f>D13*E13</f>
        <v>0</v>
      </c>
    </row>
    <row r="14" spans="1:6" ht="29">
      <c r="A14" s="842" t="s">
        <v>1751</v>
      </c>
      <c r="B14" s="847" t="s">
        <v>612</v>
      </c>
      <c r="C14" s="848" t="s">
        <v>588</v>
      </c>
      <c r="D14" s="943">
        <f>D13</f>
        <v>81.900000000000006</v>
      </c>
      <c r="E14" s="844"/>
      <c r="F14" s="845">
        <f>D14*E14</f>
        <v>0</v>
      </c>
    </row>
    <row r="15" spans="1:6">
      <c r="A15" s="842"/>
      <c r="B15" s="837" t="s">
        <v>35</v>
      </c>
      <c r="C15" s="843"/>
      <c r="D15" s="943"/>
      <c r="E15" s="844"/>
      <c r="F15" s="845">
        <f t="shared" ref="F15:F18" si="1">D15*E15</f>
        <v>0</v>
      </c>
    </row>
    <row r="16" spans="1:6" ht="43.5">
      <c r="A16" s="842" t="s">
        <v>1752</v>
      </c>
      <c r="B16" s="847" t="s">
        <v>593</v>
      </c>
      <c r="C16" s="848" t="s">
        <v>588</v>
      </c>
      <c r="D16" s="943">
        <f>D14</f>
        <v>81.900000000000006</v>
      </c>
      <c r="E16" s="844"/>
      <c r="F16" s="845">
        <f t="shared" si="1"/>
        <v>0</v>
      </c>
    </row>
    <row r="17" spans="1:6">
      <c r="A17" s="842"/>
      <c r="B17" s="837" t="s">
        <v>38</v>
      </c>
      <c r="C17" s="843"/>
      <c r="D17" s="943"/>
      <c r="E17" s="844"/>
      <c r="F17" s="845">
        <f t="shared" si="1"/>
        <v>0</v>
      </c>
    </row>
    <row r="18" spans="1:6" ht="43.5">
      <c r="A18" s="842" t="s">
        <v>1753</v>
      </c>
      <c r="B18" s="847" t="s">
        <v>613</v>
      </c>
      <c r="C18" s="848" t="s">
        <v>588</v>
      </c>
      <c r="D18" s="943">
        <f>D16</f>
        <v>81.900000000000006</v>
      </c>
      <c r="E18" s="844"/>
      <c r="F18" s="845">
        <f t="shared" si="1"/>
        <v>0</v>
      </c>
    </row>
    <row r="19" spans="1:6">
      <c r="A19" s="842"/>
      <c r="B19" s="837" t="s">
        <v>443</v>
      </c>
      <c r="C19" s="843"/>
      <c r="D19" s="943"/>
      <c r="E19" s="844"/>
      <c r="F19" s="845">
        <f>D19*E19</f>
        <v>0</v>
      </c>
    </row>
    <row r="20" spans="1:6" ht="29">
      <c r="A20" s="842" t="s">
        <v>1754</v>
      </c>
      <c r="B20" s="847" t="s">
        <v>1575</v>
      </c>
      <c r="C20" s="848" t="s">
        <v>445</v>
      </c>
      <c r="D20" s="943">
        <v>82</v>
      </c>
      <c r="E20" s="844"/>
      <c r="F20" s="845">
        <f>D20*E20</f>
        <v>0</v>
      </c>
    </row>
    <row r="21" spans="1:6">
      <c r="A21" s="842"/>
      <c r="B21" s="837" t="s">
        <v>446</v>
      </c>
      <c r="C21" s="848"/>
      <c r="D21" s="944"/>
      <c r="E21" s="850"/>
      <c r="F21" s="851">
        <f>D21*E21</f>
        <v>0</v>
      </c>
    </row>
    <row r="22" spans="1:6" s="570" customFormat="1" ht="43.5">
      <c r="A22" s="852"/>
      <c r="B22" s="853" t="s">
        <v>1600</v>
      </c>
      <c r="C22" s="854"/>
      <c r="D22" s="945"/>
      <c r="E22" s="854"/>
      <c r="F22" s="855"/>
    </row>
    <row r="23" spans="1:6" s="570" customFormat="1">
      <c r="A23" s="842" t="s">
        <v>1755</v>
      </c>
      <c r="B23" s="856" t="s">
        <v>1054</v>
      </c>
      <c r="C23" s="854" t="s">
        <v>19</v>
      </c>
      <c r="D23" s="945">
        <f>(CEILING((63.4+8.2+18.4*5.9*4)/0.2*1.1*0.395,1)+CEILING((63.4+8.2+18.4*5.9*4)*3*1.15*0.395,1)+CEILING(19*1.1*3*0.395,1))/2</f>
        <v>907</v>
      </c>
      <c r="E23" s="854"/>
      <c r="F23" s="855">
        <f>E23*D23</f>
        <v>0</v>
      </c>
    </row>
    <row r="24" spans="1:6" s="570" customFormat="1">
      <c r="A24" s="842" t="s">
        <v>1756</v>
      </c>
      <c r="B24" s="856" t="s">
        <v>1576</v>
      </c>
      <c r="C24" s="854" t="s">
        <v>19</v>
      </c>
      <c r="D24" s="945">
        <f>(CEILING((63.4+8.2+18.4*5.9*4)/0.2*0.8*0.617,1))/2</f>
        <v>624.5</v>
      </c>
      <c r="E24" s="854"/>
      <c r="F24" s="855">
        <f>E24*D24</f>
        <v>0</v>
      </c>
    </row>
    <row r="25" spans="1:6" s="570" customFormat="1">
      <c r="A25" s="842" t="s">
        <v>1757</v>
      </c>
      <c r="B25" s="856" t="s">
        <v>1055</v>
      </c>
      <c r="C25" s="854" t="s">
        <v>19</v>
      </c>
      <c r="D25" s="945">
        <f>(CEILING((63.4+8.2+18.4*5.9*4)*4*1.15*0.888,1)+CEILING(19*2*4*0.888,1))/2</f>
        <v>1101</v>
      </c>
      <c r="E25" s="854"/>
      <c r="F25" s="855">
        <f>E25*D25</f>
        <v>0</v>
      </c>
    </row>
    <row r="26" spans="1:6" ht="29">
      <c r="A26" s="842" t="s">
        <v>1758</v>
      </c>
      <c r="B26" s="847" t="s">
        <v>447</v>
      </c>
      <c r="C26" s="848" t="s">
        <v>588</v>
      </c>
      <c r="D26" s="943">
        <f>D18</f>
        <v>81.900000000000006</v>
      </c>
      <c r="E26" s="844"/>
      <c r="F26" s="845">
        <f>D26*E26</f>
        <v>0</v>
      </c>
    </row>
    <row r="27" spans="1:6">
      <c r="A27" s="842"/>
      <c r="B27" s="846" t="s">
        <v>440</v>
      </c>
      <c r="C27" s="843"/>
      <c r="D27" s="943"/>
      <c r="E27" s="844"/>
      <c r="F27" s="845"/>
    </row>
    <row r="28" spans="1:6" ht="29">
      <c r="A28" s="842"/>
      <c r="B28" s="857" t="s">
        <v>236</v>
      </c>
      <c r="C28" s="843"/>
      <c r="D28" s="943"/>
      <c r="E28" s="844"/>
      <c r="F28" s="845">
        <f>D28*E28</f>
        <v>0</v>
      </c>
    </row>
    <row r="29" spans="1:6" ht="16.5">
      <c r="A29" s="842" t="s">
        <v>1815</v>
      </c>
      <c r="B29" s="847" t="s">
        <v>442</v>
      </c>
      <c r="C29" s="848" t="s">
        <v>1574</v>
      </c>
      <c r="D29" s="943">
        <f>CEILING(D18*0.15,1)</f>
        <v>13</v>
      </c>
      <c r="E29" s="844"/>
      <c r="F29" s="845">
        <f>D29*E29</f>
        <v>0</v>
      </c>
    </row>
    <row r="30" spans="1:6" ht="16.5">
      <c r="A30" s="842" t="s">
        <v>1816</v>
      </c>
      <c r="B30" s="847" t="s">
        <v>1090</v>
      </c>
      <c r="C30" s="848" t="s">
        <v>1574</v>
      </c>
      <c r="D30" s="946">
        <f>CEILING((63.4+8.2+18.4*5.9*4)*0.2*0.6,1)/2</f>
        <v>30.5</v>
      </c>
      <c r="E30" s="844"/>
      <c r="F30" s="845">
        <f t="shared" ref="F30:F31" si="2">D30*E30</f>
        <v>0</v>
      </c>
    </row>
    <row r="31" spans="1:6" ht="16.5">
      <c r="A31" s="842" t="s">
        <v>1817</v>
      </c>
      <c r="B31" s="847" t="s">
        <v>1577</v>
      </c>
      <c r="C31" s="848" t="s">
        <v>1574</v>
      </c>
      <c r="D31" s="946">
        <f>CEILING((63.4+8.2+18.4*5.9*4)*0.2*0.4,1)/2</f>
        <v>20.5</v>
      </c>
      <c r="E31" s="844"/>
      <c r="F31" s="845">
        <f t="shared" si="2"/>
        <v>0</v>
      </c>
    </row>
    <row r="32" spans="1:6">
      <c r="A32" s="842"/>
      <c r="B32" s="846" t="s">
        <v>614</v>
      </c>
      <c r="C32" s="858"/>
      <c r="D32" s="947"/>
      <c r="E32" s="859"/>
      <c r="F32" s="860">
        <f>SUM(F4:F31)</f>
        <v>0</v>
      </c>
    </row>
    <row r="33" spans="1:7" s="866" customFormat="1">
      <c r="A33" s="861" t="s">
        <v>0</v>
      </c>
      <c r="B33" s="862" t="s">
        <v>1</v>
      </c>
      <c r="C33" s="863" t="s">
        <v>2</v>
      </c>
      <c r="D33" s="948" t="s">
        <v>426</v>
      </c>
      <c r="E33" s="864" t="s">
        <v>368</v>
      </c>
      <c r="F33" s="865" t="s">
        <v>472</v>
      </c>
      <c r="G33" s="582"/>
    </row>
    <row r="34" spans="1:7" s="652" customFormat="1">
      <c r="A34" s="651">
        <v>17.2</v>
      </c>
      <c r="B34" s="160" t="s">
        <v>1063</v>
      </c>
      <c r="C34" s="161"/>
      <c r="D34" s="949"/>
      <c r="E34" s="162"/>
      <c r="F34" s="867"/>
    </row>
    <row r="35" spans="1:7" s="644" customFormat="1">
      <c r="A35" s="641"/>
      <c r="B35" s="642" t="s">
        <v>1064</v>
      </c>
      <c r="C35" s="643"/>
      <c r="D35" s="950"/>
      <c r="E35" s="643"/>
      <c r="F35" s="868"/>
    </row>
    <row r="36" spans="1:7" s="655" customFormat="1">
      <c r="A36" s="1021" t="s">
        <v>1818</v>
      </c>
      <c r="B36" s="847" t="s">
        <v>1065</v>
      </c>
      <c r="C36" s="654" t="s">
        <v>425</v>
      </c>
      <c r="D36" s="951">
        <f>CEILING((6.5*3+12.6*3)*0.4*0.4,1)</f>
        <v>10</v>
      </c>
      <c r="E36" s="654"/>
      <c r="F36" s="869">
        <f>E36*D36</f>
        <v>0</v>
      </c>
    </row>
    <row r="37" spans="1:7" s="655" customFormat="1">
      <c r="A37" s="653"/>
      <c r="B37" s="847" t="s">
        <v>1578</v>
      </c>
      <c r="C37" s="654" t="s">
        <v>425</v>
      </c>
      <c r="D37" s="943">
        <v>13</v>
      </c>
      <c r="E37" s="844"/>
      <c r="F37" s="845">
        <f>D37*E37</f>
        <v>0</v>
      </c>
    </row>
    <row r="38" spans="1:7" s="655" customFormat="1">
      <c r="A38" s="653"/>
      <c r="B38" s="870" t="s">
        <v>1579</v>
      </c>
      <c r="C38" s="654" t="s">
        <v>425</v>
      </c>
      <c r="D38" s="943">
        <f>CEILING(10*0.2*0.4*3.3,1)</f>
        <v>3</v>
      </c>
      <c r="E38" s="844"/>
      <c r="F38" s="845">
        <f>D38*E38</f>
        <v>0</v>
      </c>
    </row>
    <row r="39" spans="1:7" s="644" customFormat="1">
      <c r="A39" s="641"/>
      <c r="B39" s="642" t="s">
        <v>771</v>
      </c>
      <c r="C39" s="643"/>
      <c r="D39" s="950"/>
      <c r="E39" s="643"/>
      <c r="F39" s="868"/>
    </row>
    <row r="40" spans="1:7" s="644" customFormat="1">
      <c r="A40" s="641"/>
      <c r="B40" s="642" t="s">
        <v>772</v>
      </c>
      <c r="C40" s="643"/>
      <c r="D40" s="950"/>
      <c r="E40" s="643"/>
      <c r="F40" s="868"/>
    </row>
    <row r="41" spans="1:7" s="644" customFormat="1">
      <c r="A41" s="641" t="s">
        <v>1819</v>
      </c>
      <c r="B41" s="647" t="s">
        <v>1066</v>
      </c>
      <c r="C41" s="643" t="s">
        <v>19</v>
      </c>
      <c r="D41" s="952">
        <f>(141+271)/2</f>
        <v>206</v>
      </c>
      <c r="E41" s="643"/>
      <c r="F41" s="868">
        <f>E41*D41</f>
        <v>0</v>
      </c>
    </row>
    <row r="42" spans="1:7" s="644" customFormat="1">
      <c r="A42" s="641" t="s">
        <v>1820</v>
      </c>
      <c r="B42" s="647" t="s">
        <v>1067</v>
      </c>
      <c r="C42" s="643" t="s">
        <v>19</v>
      </c>
      <c r="D42" s="952">
        <f>(237+647)/2</f>
        <v>442</v>
      </c>
      <c r="E42" s="643"/>
      <c r="F42" s="868">
        <f>E42*D42</f>
        <v>0</v>
      </c>
    </row>
    <row r="43" spans="1:7" s="644" customFormat="1">
      <c r="A43" s="641" t="s">
        <v>1821</v>
      </c>
      <c r="B43" s="647" t="s">
        <v>1580</v>
      </c>
      <c r="C43" s="643" t="s">
        <v>19</v>
      </c>
      <c r="D43" s="952">
        <f>147/2</f>
        <v>73.5</v>
      </c>
      <c r="E43" s="643"/>
      <c r="F43" s="868">
        <f>E43*D43</f>
        <v>0</v>
      </c>
    </row>
    <row r="44" spans="1:7" s="644" customFormat="1">
      <c r="A44" s="641"/>
      <c r="B44" s="645" t="s">
        <v>1068</v>
      </c>
      <c r="C44" s="643"/>
      <c r="D44" s="950"/>
      <c r="E44" s="643"/>
      <c r="F44" s="868"/>
    </row>
    <row r="45" spans="1:7" s="644" customFormat="1">
      <c r="A45" s="641" t="s">
        <v>1823</v>
      </c>
      <c r="B45" s="647" t="s">
        <v>1069</v>
      </c>
      <c r="C45" s="643" t="s">
        <v>33</v>
      </c>
      <c r="D45" s="952">
        <v>250</v>
      </c>
      <c r="E45" s="643"/>
      <c r="F45" s="868">
        <f>D45*E45</f>
        <v>0</v>
      </c>
    </row>
    <row r="46" spans="1:7" s="658" customFormat="1">
      <c r="A46" s="656"/>
      <c r="B46" s="656" t="s">
        <v>1070</v>
      </c>
      <c r="C46" s="657"/>
      <c r="D46" s="953"/>
      <c r="E46" s="657"/>
      <c r="F46" s="871">
        <f>SUM(F34:F45)</f>
        <v>0</v>
      </c>
    </row>
    <row r="47" spans="1:7" s="658" customFormat="1">
      <c r="A47" s="650"/>
      <c r="B47" s="650"/>
      <c r="C47" s="659"/>
      <c r="D47" s="954"/>
      <c r="E47" s="659"/>
      <c r="F47" s="872"/>
    </row>
    <row r="48" spans="1:7" s="644" customFormat="1">
      <c r="A48" s="660">
        <v>17.3</v>
      </c>
      <c r="B48" s="645" t="s">
        <v>1071</v>
      </c>
      <c r="C48" s="643"/>
      <c r="D48" s="950"/>
      <c r="E48" s="643"/>
      <c r="F48" s="868"/>
    </row>
    <row r="49" spans="1:198" s="644" customFormat="1">
      <c r="A49" s="641"/>
      <c r="B49" s="642"/>
      <c r="C49" s="643"/>
      <c r="D49" s="950"/>
      <c r="E49" s="643"/>
      <c r="F49" s="868"/>
    </row>
    <row r="50" spans="1:198" s="644" customFormat="1" ht="43.5">
      <c r="A50" s="641"/>
      <c r="B50" s="1022" t="s">
        <v>1581</v>
      </c>
      <c r="C50" s="643"/>
      <c r="D50" s="951"/>
      <c r="E50" s="643"/>
      <c r="F50" s="868"/>
    </row>
    <row r="51" spans="1:198" s="644" customFormat="1" ht="29">
      <c r="A51" s="641" t="s">
        <v>1824</v>
      </c>
      <c r="B51" s="856" t="s">
        <v>1582</v>
      </c>
      <c r="C51" s="643" t="s">
        <v>33</v>
      </c>
      <c r="D51" s="955">
        <f>CEILING(38.2*3,1)</f>
        <v>115</v>
      </c>
      <c r="E51" s="643"/>
      <c r="F51" s="868">
        <f>E51*D51</f>
        <v>0</v>
      </c>
    </row>
    <row r="52" spans="1:198" s="644" customFormat="1">
      <c r="A52" s="641" t="s">
        <v>1825</v>
      </c>
      <c r="B52" s="856" t="s">
        <v>1075</v>
      </c>
      <c r="C52" s="643" t="s">
        <v>33</v>
      </c>
      <c r="D52" s="955">
        <f>CEILING(6.1*2*3,1)</f>
        <v>37</v>
      </c>
      <c r="E52" s="643"/>
      <c r="F52" s="868">
        <f>E52*D52</f>
        <v>0</v>
      </c>
    </row>
    <row r="53" spans="1:198" s="644" customFormat="1">
      <c r="A53" s="641" t="s">
        <v>1826</v>
      </c>
      <c r="B53" s="642" t="s">
        <v>1039</v>
      </c>
      <c r="C53" s="643"/>
      <c r="D53" s="950"/>
      <c r="E53" s="643"/>
      <c r="F53" s="868"/>
    </row>
    <row r="54" spans="1:198" s="644" customFormat="1">
      <c r="A54" s="641" t="s">
        <v>1827</v>
      </c>
      <c r="B54" s="647" t="s">
        <v>1040</v>
      </c>
      <c r="C54" s="643" t="s">
        <v>50</v>
      </c>
      <c r="D54" s="955">
        <f>CEILING(6.1*2,1)</f>
        <v>13</v>
      </c>
      <c r="E54" s="643"/>
      <c r="F54" s="868">
        <f>E54*D54</f>
        <v>0</v>
      </c>
    </row>
    <row r="55" spans="1:198" s="644" customFormat="1">
      <c r="A55" s="641" t="s">
        <v>1822</v>
      </c>
      <c r="B55" s="647" t="s">
        <v>1583</v>
      </c>
      <c r="C55" s="643" t="s">
        <v>50</v>
      </c>
      <c r="D55" s="955">
        <f>CEILING(38.2,1)</f>
        <v>39</v>
      </c>
      <c r="E55" s="643"/>
      <c r="F55" s="868">
        <f>E55*D55</f>
        <v>0</v>
      </c>
    </row>
    <row r="56" spans="1:198" s="644" customFormat="1" ht="29">
      <c r="A56" s="641"/>
      <c r="B56" s="656" t="s">
        <v>1076</v>
      </c>
      <c r="C56" s="657"/>
      <c r="D56" s="950"/>
      <c r="E56" s="643"/>
      <c r="F56" s="871">
        <f>SUM(F49:F55)</f>
        <v>0</v>
      </c>
    </row>
    <row r="57" spans="1:198" s="644" customFormat="1">
      <c r="A57" s="873"/>
      <c r="B57" s="874"/>
      <c r="C57" s="875"/>
      <c r="D57" s="956"/>
      <c r="E57" s="876"/>
      <c r="F57" s="877"/>
    </row>
    <row r="58" spans="1:198" s="152" customFormat="1" ht="15.5">
      <c r="A58" s="878">
        <v>17.399999999999999</v>
      </c>
      <c r="B58" s="879" t="s">
        <v>1584</v>
      </c>
      <c r="C58" s="880"/>
      <c r="D58" s="888"/>
      <c r="E58" s="881"/>
      <c r="F58" s="882"/>
      <c r="G58" s="164"/>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51"/>
      <c r="CN58" s="151"/>
      <c r="CO58" s="151"/>
      <c r="CP58" s="151"/>
      <c r="CQ58" s="151"/>
      <c r="CR58" s="151"/>
      <c r="CS58" s="151"/>
      <c r="CT58" s="151"/>
      <c r="CU58" s="151"/>
      <c r="CV58" s="151"/>
      <c r="CW58" s="151"/>
      <c r="CX58" s="151"/>
      <c r="CY58" s="151"/>
      <c r="CZ58" s="151"/>
      <c r="DA58" s="151"/>
      <c r="DB58" s="151"/>
      <c r="DC58" s="151"/>
      <c r="DD58" s="151"/>
      <c r="DE58" s="151"/>
      <c r="DF58" s="151"/>
      <c r="DG58" s="151"/>
      <c r="DH58" s="151"/>
      <c r="DI58" s="151"/>
      <c r="DJ58" s="151"/>
      <c r="DK58" s="151"/>
      <c r="DL58" s="151"/>
      <c r="DM58" s="151"/>
      <c r="DN58" s="151"/>
      <c r="DO58" s="151"/>
      <c r="DP58" s="151"/>
      <c r="DQ58" s="151"/>
      <c r="DR58" s="151"/>
      <c r="DS58" s="151"/>
      <c r="DT58" s="151"/>
      <c r="DU58" s="151"/>
      <c r="DV58" s="151"/>
      <c r="DW58" s="151"/>
      <c r="DX58" s="151"/>
      <c r="DY58" s="151"/>
      <c r="DZ58" s="151"/>
      <c r="EA58" s="151"/>
      <c r="EB58" s="151"/>
      <c r="EC58" s="151"/>
      <c r="ED58" s="151"/>
      <c r="EE58" s="151"/>
      <c r="EF58" s="151"/>
      <c r="EG58" s="151"/>
      <c r="EH58" s="151"/>
      <c r="EI58" s="151"/>
      <c r="EJ58" s="151"/>
      <c r="EK58" s="151"/>
      <c r="EL58" s="151"/>
      <c r="EM58" s="151"/>
      <c r="EN58" s="151"/>
      <c r="EO58" s="151"/>
      <c r="EP58" s="151"/>
      <c r="EQ58" s="151"/>
      <c r="ER58" s="151"/>
      <c r="ES58" s="151"/>
      <c r="ET58" s="151"/>
      <c r="EU58" s="151"/>
      <c r="EV58" s="151"/>
      <c r="EW58" s="151"/>
      <c r="EX58" s="151"/>
      <c r="EY58" s="151"/>
      <c r="EZ58" s="151"/>
      <c r="FA58" s="151"/>
      <c r="FB58" s="151"/>
      <c r="FC58" s="151"/>
      <c r="FD58" s="151"/>
      <c r="FE58" s="151"/>
      <c r="FF58" s="151"/>
      <c r="FG58" s="151"/>
      <c r="FH58" s="151"/>
      <c r="FI58" s="151"/>
      <c r="FJ58" s="151"/>
      <c r="FK58" s="151"/>
      <c r="FL58" s="151"/>
      <c r="FM58" s="151"/>
      <c r="FN58" s="151"/>
      <c r="FO58" s="151"/>
      <c r="FP58" s="151"/>
      <c r="FQ58" s="151"/>
      <c r="FR58" s="151"/>
      <c r="FS58" s="151"/>
      <c r="FT58" s="151"/>
      <c r="FU58" s="151"/>
      <c r="FV58" s="151"/>
      <c r="FW58" s="151"/>
      <c r="FX58" s="151"/>
      <c r="FY58" s="151"/>
      <c r="FZ58" s="151"/>
      <c r="GA58" s="151"/>
      <c r="GB58" s="151"/>
      <c r="GC58" s="151"/>
      <c r="GD58" s="151"/>
      <c r="GE58" s="151"/>
      <c r="GF58" s="151"/>
      <c r="GG58" s="151"/>
      <c r="GH58" s="151"/>
      <c r="GI58" s="151"/>
      <c r="GJ58" s="151"/>
      <c r="GK58" s="151"/>
      <c r="GL58" s="151"/>
      <c r="GM58" s="151"/>
      <c r="GN58" s="151"/>
      <c r="GO58" s="151"/>
      <c r="GP58" s="151"/>
    </row>
    <row r="59" spans="1:198" s="154" customFormat="1" ht="31">
      <c r="A59" s="883" t="s">
        <v>34</v>
      </c>
      <c r="B59" s="884" t="s">
        <v>496</v>
      </c>
      <c r="C59" s="885" t="s">
        <v>34</v>
      </c>
      <c r="D59" s="883"/>
      <c r="E59" s="886"/>
      <c r="F59" s="887"/>
      <c r="G59" s="166"/>
    </row>
    <row r="60" spans="1:198" s="152" customFormat="1" ht="31">
      <c r="A60" s="888" t="s">
        <v>1759</v>
      </c>
      <c r="B60" s="889" t="s">
        <v>497</v>
      </c>
      <c r="C60" s="880" t="s">
        <v>33</v>
      </c>
      <c r="D60" s="881">
        <f>7.1*2*12.3</f>
        <v>174.66</v>
      </c>
      <c r="E60" s="881"/>
      <c r="F60" s="882">
        <f>D60*E60</f>
        <v>0</v>
      </c>
      <c r="G60" s="164"/>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1"/>
      <c r="BQ60" s="151"/>
      <c r="BR60" s="151"/>
      <c r="BS60" s="151"/>
      <c r="BT60" s="151"/>
      <c r="BU60" s="151"/>
      <c r="BV60" s="151"/>
      <c r="BW60" s="151"/>
      <c r="BX60" s="151"/>
      <c r="BY60" s="151"/>
      <c r="BZ60" s="151"/>
      <c r="CA60" s="151"/>
      <c r="CB60" s="151"/>
      <c r="CC60" s="151"/>
      <c r="CD60" s="151"/>
      <c r="CE60" s="151"/>
      <c r="CF60" s="151"/>
      <c r="CG60" s="151"/>
      <c r="CH60" s="151"/>
      <c r="CI60" s="151"/>
      <c r="CJ60" s="151"/>
      <c r="CK60" s="151"/>
      <c r="CL60" s="151"/>
      <c r="CM60" s="151"/>
      <c r="CN60" s="151"/>
      <c r="CO60" s="151"/>
      <c r="CP60" s="151"/>
      <c r="CQ60" s="151"/>
      <c r="CR60" s="151"/>
      <c r="CS60" s="151"/>
      <c r="CT60" s="151"/>
      <c r="CU60" s="151"/>
      <c r="CV60" s="151"/>
      <c r="CW60" s="151"/>
      <c r="CX60" s="151"/>
      <c r="CY60" s="151"/>
      <c r="CZ60" s="151"/>
      <c r="DA60" s="151"/>
      <c r="DB60" s="151"/>
      <c r="DC60" s="151"/>
      <c r="DD60" s="151"/>
      <c r="DE60" s="151"/>
      <c r="DF60" s="151"/>
      <c r="DG60" s="151"/>
      <c r="DH60" s="151"/>
      <c r="DI60" s="151"/>
      <c r="DJ60" s="151"/>
      <c r="DK60" s="151"/>
      <c r="DL60" s="151"/>
      <c r="DM60" s="151"/>
      <c r="DN60" s="151"/>
      <c r="DO60" s="151"/>
      <c r="DP60" s="151"/>
      <c r="DQ60" s="151"/>
      <c r="DR60" s="151"/>
      <c r="DS60" s="151"/>
      <c r="DT60" s="151"/>
      <c r="DU60" s="151"/>
      <c r="DV60" s="151"/>
      <c r="DW60" s="151"/>
      <c r="DX60" s="151"/>
      <c r="DY60" s="151"/>
      <c r="DZ60" s="151"/>
      <c r="EA60" s="151"/>
      <c r="EB60" s="151"/>
      <c r="EC60" s="151"/>
      <c r="ED60" s="151"/>
      <c r="EE60" s="151"/>
      <c r="EF60" s="151"/>
      <c r="EG60" s="151"/>
      <c r="EH60" s="151"/>
      <c r="EI60" s="151"/>
      <c r="EJ60" s="151"/>
      <c r="EK60" s="151"/>
      <c r="EL60" s="151"/>
      <c r="EM60" s="151"/>
      <c r="EN60" s="151"/>
      <c r="EO60" s="151"/>
      <c r="EP60" s="151"/>
      <c r="EQ60" s="151"/>
      <c r="ER60" s="151"/>
      <c r="ES60" s="151"/>
      <c r="ET60" s="151"/>
      <c r="EU60" s="151"/>
      <c r="EV60" s="151"/>
      <c r="EW60" s="151"/>
      <c r="EX60" s="151"/>
      <c r="EY60" s="151"/>
      <c r="EZ60" s="151"/>
      <c r="FA60" s="151"/>
      <c r="FB60" s="151"/>
      <c r="FC60" s="151"/>
      <c r="FD60" s="151"/>
      <c r="FE60" s="151"/>
      <c r="FF60" s="151"/>
      <c r="FG60" s="151"/>
      <c r="FH60" s="151"/>
      <c r="FI60" s="151"/>
      <c r="FJ60" s="151"/>
      <c r="FK60" s="151"/>
      <c r="FL60" s="151"/>
      <c r="FM60" s="151"/>
      <c r="FN60" s="151"/>
      <c r="FO60" s="151"/>
      <c r="FP60" s="151"/>
      <c r="FQ60" s="151"/>
      <c r="FR60" s="151"/>
      <c r="FS60" s="151"/>
      <c r="FT60" s="151"/>
      <c r="FU60" s="151"/>
      <c r="FV60" s="151"/>
      <c r="FW60" s="151"/>
      <c r="FX60" s="151"/>
      <c r="FY60" s="151"/>
      <c r="FZ60" s="151"/>
      <c r="GA60" s="151"/>
      <c r="GB60" s="151"/>
      <c r="GC60" s="151"/>
      <c r="GD60" s="151"/>
      <c r="GE60" s="151"/>
      <c r="GF60" s="151"/>
      <c r="GG60" s="151"/>
      <c r="GH60" s="151"/>
      <c r="GI60" s="151"/>
      <c r="GJ60" s="151"/>
      <c r="GK60" s="151"/>
      <c r="GL60" s="151"/>
      <c r="GM60" s="151"/>
      <c r="GN60" s="151"/>
      <c r="GO60" s="151"/>
      <c r="GP60" s="151"/>
    </row>
    <row r="61" spans="1:198" s="154" customFormat="1" ht="15.5">
      <c r="A61" s="888" t="s">
        <v>1760</v>
      </c>
      <c r="B61" s="885" t="s">
        <v>1585</v>
      </c>
      <c r="C61" s="885" t="s">
        <v>50</v>
      </c>
      <c r="D61" s="883">
        <v>253</v>
      </c>
      <c r="E61" s="886"/>
      <c r="F61" s="882">
        <f t="shared" ref="F61:F66" si="3">D61*E61</f>
        <v>0</v>
      </c>
      <c r="G61" s="166"/>
    </row>
    <row r="62" spans="1:198" s="154" customFormat="1" ht="15.5">
      <c r="A62" s="888" t="s">
        <v>1761</v>
      </c>
      <c r="B62" s="885" t="s">
        <v>1586</v>
      </c>
      <c r="C62" s="885" t="s">
        <v>50</v>
      </c>
      <c r="D62" s="883">
        <v>160</v>
      </c>
      <c r="E62" s="886"/>
      <c r="F62" s="882">
        <f t="shared" si="3"/>
        <v>0</v>
      </c>
      <c r="G62" s="166"/>
    </row>
    <row r="63" spans="1:198" s="154" customFormat="1" ht="15.5">
      <c r="A63" s="888" t="s">
        <v>1762</v>
      </c>
      <c r="B63" s="885" t="s">
        <v>380</v>
      </c>
      <c r="C63" s="885" t="s">
        <v>50</v>
      </c>
      <c r="D63" s="883">
        <v>190</v>
      </c>
      <c r="E63" s="886"/>
      <c r="F63" s="882">
        <f t="shared" si="3"/>
        <v>0</v>
      </c>
      <c r="G63" s="166"/>
    </row>
    <row r="64" spans="1:198" s="154" customFormat="1" ht="15.5">
      <c r="A64" s="888" t="s">
        <v>1763</v>
      </c>
      <c r="B64" s="885" t="s">
        <v>382</v>
      </c>
      <c r="C64" s="885" t="s">
        <v>50</v>
      </c>
      <c r="D64" s="883">
        <v>33</v>
      </c>
      <c r="E64" s="886"/>
      <c r="F64" s="882">
        <f t="shared" si="3"/>
        <v>0</v>
      </c>
      <c r="G64" s="166"/>
    </row>
    <row r="65" spans="1:7" s="154" customFormat="1" ht="15.5">
      <c r="A65" s="888" t="s">
        <v>1764</v>
      </c>
      <c r="B65" s="885" t="s">
        <v>383</v>
      </c>
      <c r="C65" s="885" t="s">
        <v>50</v>
      </c>
      <c r="D65" s="883">
        <v>25</v>
      </c>
      <c r="E65" s="886"/>
      <c r="F65" s="882">
        <f t="shared" si="3"/>
        <v>0</v>
      </c>
      <c r="G65" s="166"/>
    </row>
    <row r="66" spans="1:7" s="154" customFormat="1" ht="15.5">
      <c r="A66" s="888" t="s">
        <v>1765</v>
      </c>
      <c r="B66" s="885" t="s">
        <v>384</v>
      </c>
      <c r="C66" s="885" t="s">
        <v>50</v>
      </c>
      <c r="D66" s="883">
        <v>14</v>
      </c>
      <c r="E66" s="886"/>
      <c r="F66" s="882">
        <f t="shared" si="3"/>
        <v>0</v>
      </c>
      <c r="G66" s="166"/>
    </row>
    <row r="67" spans="1:7" s="154" customFormat="1" ht="15.5">
      <c r="A67" s="883" t="s">
        <v>34</v>
      </c>
      <c r="B67" s="890" t="s">
        <v>388</v>
      </c>
      <c r="C67" s="885" t="s">
        <v>34</v>
      </c>
      <c r="D67" s="883" t="s">
        <v>34</v>
      </c>
      <c r="E67" s="886"/>
      <c r="F67" s="891"/>
      <c r="G67" s="166"/>
    </row>
    <row r="68" spans="1:7" s="154" customFormat="1" ht="15.5">
      <c r="A68" s="883" t="s">
        <v>1766</v>
      </c>
      <c r="B68" s="885" t="s">
        <v>389</v>
      </c>
      <c r="C68" s="885" t="s">
        <v>34</v>
      </c>
      <c r="D68" s="883" t="s">
        <v>34</v>
      </c>
      <c r="E68" s="886"/>
      <c r="F68" s="891"/>
      <c r="G68" s="166"/>
    </row>
    <row r="69" spans="1:7" s="154" customFormat="1" ht="15.5">
      <c r="A69" s="883" t="s">
        <v>1767</v>
      </c>
      <c r="B69" s="885" t="s">
        <v>390</v>
      </c>
      <c r="C69" s="885" t="s">
        <v>33</v>
      </c>
      <c r="D69" s="883">
        <v>23</v>
      </c>
      <c r="E69" s="886"/>
      <c r="F69" s="891">
        <f t="shared" ref="F69:F103" si="4">E69*D69</f>
        <v>0</v>
      </c>
      <c r="G69" s="166"/>
    </row>
    <row r="70" spans="1:7" s="154" customFormat="1" ht="12.65" customHeight="1">
      <c r="A70" s="883" t="s">
        <v>1768</v>
      </c>
      <c r="B70" s="885" t="s">
        <v>391</v>
      </c>
      <c r="C70" s="885" t="s">
        <v>50</v>
      </c>
      <c r="D70" s="883">
        <f>12.3*2+4.2*2</f>
        <v>33</v>
      </c>
      <c r="E70" s="886"/>
      <c r="F70" s="891">
        <f t="shared" si="4"/>
        <v>0</v>
      </c>
      <c r="G70" s="166"/>
    </row>
    <row r="71" spans="1:7" s="154" customFormat="1" ht="15.5">
      <c r="A71" s="883"/>
      <c r="B71" s="885"/>
      <c r="C71" s="885"/>
      <c r="D71" s="883"/>
      <c r="E71" s="886"/>
      <c r="F71" s="891"/>
      <c r="G71" s="166"/>
    </row>
    <row r="72" spans="1:7" s="154" customFormat="1" ht="12.65" customHeight="1">
      <c r="A72" s="883"/>
      <c r="B72" s="885"/>
      <c r="C72" s="885"/>
      <c r="D72" s="883"/>
      <c r="E72" s="886"/>
      <c r="F72" s="891"/>
      <c r="G72" s="166"/>
    </row>
    <row r="73" spans="1:7">
      <c r="A73" s="831" t="s">
        <v>0</v>
      </c>
      <c r="B73" s="832" t="s">
        <v>1</v>
      </c>
      <c r="C73" s="833" t="s">
        <v>2</v>
      </c>
      <c r="D73" s="942" t="s">
        <v>426</v>
      </c>
      <c r="E73" s="834" t="s">
        <v>368</v>
      </c>
      <c r="F73" s="835" t="s">
        <v>472</v>
      </c>
    </row>
    <row r="74" spans="1:7" s="154" customFormat="1" ht="15.5">
      <c r="A74" s="892" t="s">
        <v>34</v>
      </c>
      <c r="B74" s="884" t="s">
        <v>392</v>
      </c>
      <c r="C74" s="885" t="s">
        <v>34</v>
      </c>
      <c r="D74" s="883" t="s">
        <v>34</v>
      </c>
      <c r="E74" s="886"/>
      <c r="F74" s="891"/>
      <c r="G74" s="166"/>
    </row>
    <row r="75" spans="1:7" s="154" customFormat="1" ht="31">
      <c r="A75" s="892" t="s">
        <v>1769</v>
      </c>
      <c r="B75" s="885" t="s">
        <v>393</v>
      </c>
      <c r="C75" s="885" t="s">
        <v>33</v>
      </c>
      <c r="D75" s="883">
        <f>D69</f>
        <v>23</v>
      </c>
      <c r="E75" s="886"/>
      <c r="F75" s="891">
        <f t="shared" si="4"/>
        <v>0</v>
      </c>
      <c r="G75" s="166"/>
    </row>
    <row r="76" spans="1:7" s="154" customFormat="1" ht="31">
      <c r="A76" s="892" t="s">
        <v>1770</v>
      </c>
      <c r="B76" s="885" t="s">
        <v>394</v>
      </c>
      <c r="C76" s="885" t="s">
        <v>50</v>
      </c>
      <c r="D76" s="883">
        <f>D70</f>
        <v>33</v>
      </c>
      <c r="E76" s="886"/>
      <c r="F76" s="891">
        <f t="shared" si="4"/>
        <v>0</v>
      </c>
      <c r="G76" s="166"/>
    </row>
    <row r="77" spans="1:7" s="154" customFormat="1" ht="15.5">
      <c r="A77" s="892" t="s">
        <v>34</v>
      </c>
      <c r="B77" s="890" t="s">
        <v>395</v>
      </c>
      <c r="C77" s="885" t="s">
        <v>34</v>
      </c>
      <c r="D77" s="883" t="s">
        <v>34</v>
      </c>
      <c r="E77" s="886"/>
      <c r="F77" s="891"/>
      <c r="G77" s="166"/>
    </row>
    <row r="78" spans="1:7" s="154" customFormat="1" ht="32" customHeight="1">
      <c r="A78" s="892" t="s">
        <v>1771</v>
      </c>
      <c r="B78" s="885" t="s">
        <v>396</v>
      </c>
      <c r="C78" s="885" t="s">
        <v>50</v>
      </c>
      <c r="D78" s="883">
        <f>D76</f>
        <v>33</v>
      </c>
      <c r="E78" s="886"/>
      <c r="F78" s="891">
        <f t="shared" si="4"/>
        <v>0</v>
      </c>
      <c r="G78" s="166"/>
    </row>
    <row r="79" spans="1:7" s="154" customFormat="1" ht="15.5">
      <c r="A79" s="883" t="s">
        <v>34</v>
      </c>
      <c r="B79" s="890" t="s">
        <v>498</v>
      </c>
      <c r="C79" s="885" t="s">
        <v>34</v>
      </c>
      <c r="D79" s="883" t="s">
        <v>34</v>
      </c>
      <c r="E79" s="886"/>
      <c r="F79" s="891"/>
      <c r="G79" s="166"/>
    </row>
    <row r="80" spans="1:7" s="154" customFormat="1" ht="31">
      <c r="A80" s="883" t="s">
        <v>1772</v>
      </c>
      <c r="B80" s="885" t="s">
        <v>398</v>
      </c>
      <c r="C80" s="885" t="s">
        <v>50</v>
      </c>
      <c r="D80" s="883">
        <f>3*4</f>
        <v>12</v>
      </c>
      <c r="E80" s="886"/>
      <c r="F80" s="891">
        <f t="shared" si="4"/>
        <v>0</v>
      </c>
      <c r="G80" s="166"/>
    </row>
    <row r="81" spans="1:198" s="154" customFormat="1" ht="15" customHeight="1">
      <c r="A81" s="883" t="s">
        <v>1773</v>
      </c>
      <c r="B81" s="885" t="s">
        <v>399</v>
      </c>
      <c r="C81" s="885" t="s">
        <v>387</v>
      </c>
      <c r="D81" s="883">
        <v>4</v>
      </c>
      <c r="E81" s="886"/>
      <c r="F81" s="891">
        <f t="shared" si="4"/>
        <v>0</v>
      </c>
      <c r="G81" s="166"/>
    </row>
    <row r="82" spans="1:198" s="154" customFormat="1" ht="19.25" customHeight="1">
      <c r="A82" s="883" t="s">
        <v>1774</v>
      </c>
      <c r="B82" s="885" t="s">
        <v>400</v>
      </c>
      <c r="C82" s="885" t="s">
        <v>387</v>
      </c>
      <c r="D82" s="883">
        <f>D81</f>
        <v>4</v>
      </c>
      <c r="E82" s="886"/>
      <c r="F82" s="891">
        <f t="shared" si="4"/>
        <v>0</v>
      </c>
      <c r="G82" s="166"/>
    </row>
    <row r="83" spans="1:198" s="154" customFormat="1" ht="17" customHeight="1">
      <c r="A83" s="883" t="s">
        <v>1775</v>
      </c>
      <c r="B83" s="885" t="s">
        <v>401</v>
      </c>
      <c r="C83" s="885" t="s">
        <v>34</v>
      </c>
      <c r="D83" s="883" t="s">
        <v>34</v>
      </c>
      <c r="E83" s="886"/>
      <c r="F83" s="891"/>
      <c r="G83" s="166"/>
    </row>
    <row r="84" spans="1:198" s="154" customFormat="1" ht="19.25" customHeight="1">
      <c r="A84" s="883" t="s">
        <v>1776</v>
      </c>
      <c r="B84" s="885" t="s">
        <v>403</v>
      </c>
      <c r="C84" s="885" t="s">
        <v>50</v>
      </c>
      <c r="D84" s="883">
        <f>D78</f>
        <v>33</v>
      </c>
      <c r="E84" s="886"/>
      <c r="F84" s="891">
        <f t="shared" si="4"/>
        <v>0</v>
      </c>
      <c r="G84" s="166"/>
    </row>
    <row r="85" spans="1:198" s="154" customFormat="1" ht="17" customHeight="1">
      <c r="A85" s="883" t="s">
        <v>1777</v>
      </c>
      <c r="B85" s="885" t="s">
        <v>404</v>
      </c>
      <c r="C85" s="885" t="s">
        <v>50</v>
      </c>
      <c r="D85" s="883">
        <f>D84</f>
        <v>33</v>
      </c>
      <c r="E85" s="886"/>
      <c r="F85" s="891">
        <f t="shared" si="4"/>
        <v>0</v>
      </c>
      <c r="G85" s="166"/>
    </row>
    <row r="86" spans="1:198" s="155" customFormat="1" ht="15.5">
      <c r="A86" s="893"/>
      <c r="B86" s="890" t="s">
        <v>1587</v>
      </c>
      <c r="C86" s="890"/>
      <c r="D86" s="893"/>
      <c r="E86" s="894"/>
      <c r="F86" s="895">
        <f>SUM(F60:F85)</f>
        <v>0</v>
      </c>
      <c r="G86" s="167"/>
    </row>
    <row r="87" spans="1:198">
      <c r="A87" s="831"/>
      <c r="B87" s="832"/>
      <c r="C87" s="833"/>
      <c r="D87" s="942"/>
      <c r="E87" s="834"/>
      <c r="F87" s="835"/>
    </row>
    <row r="88" spans="1:198" s="152" customFormat="1" ht="15.5">
      <c r="A88" s="896">
        <v>17.5</v>
      </c>
      <c r="B88" s="879" t="s">
        <v>1588</v>
      </c>
      <c r="C88" s="897"/>
      <c r="D88" s="898"/>
      <c r="E88" s="898"/>
      <c r="F88" s="891">
        <f t="shared" si="4"/>
        <v>0</v>
      </c>
      <c r="G88" s="164"/>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c r="BI88" s="151"/>
      <c r="BJ88" s="151"/>
      <c r="BK88" s="151"/>
      <c r="BL88" s="151"/>
      <c r="BM88" s="151"/>
      <c r="BN88" s="151"/>
      <c r="BO88" s="151"/>
      <c r="BP88" s="151"/>
      <c r="BQ88" s="151"/>
      <c r="BR88" s="151"/>
      <c r="BS88" s="151"/>
      <c r="BT88" s="151"/>
      <c r="BU88" s="151"/>
      <c r="BV88" s="151"/>
      <c r="BW88" s="151"/>
      <c r="BX88" s="151"/>
      <c r="BY88" s="151"/>
      <c r="BZ88" s="151"/>
      <c r="CA88" s="151"/>
      <c r="CB88" s="151"/>
      <c r="CC88" s="151"/>
      <c r="CD88" s="151"/>
      <c r="CE88" s="151"/>
      <c r="CF88" s="151"/>
      <c r="CG88" s="151"/>
      <c r="CH88" s="151"/>
      <c r="CI88" s="151"/>
      <c r="CJ88" s="151"/>
      <c r="CK88" s="151"/>
      <c r="CL88" s="151"/>
      <c r="CM88" s="151"/>
      <c r="CN88" s="151"/>
      <c r="CO88" s="151"/>
      <c r="CP88" s="151"/>
      <c r="CQ88" s="151"/>
      <c r="CR88" s="151"/>
      <c r="CS88" s="151"/>
      <c r="CT88" s="151"/>
      <c r="CU88" s="151"/>
      <c r="CV88" s="151"/>
      <c r="CW88" s="151"/>
      <c r="CX88" s="151"/>
      <c r="CY88" s="151"/>
      <c r="CZ88" s="151"/>
      <c r="DA88" s="151"/>
      <c r="DB88" s="151"/>
      <c r="DC88" s="151"/>
      <c r="DD88" s="151"/>
      <c r="DE88" s="151"/>
      <c r="DF88" s="151"/>
      <c r="DG88" s="151"/>
      <c r="DH88" s="151"/>
      <c r="DI88" s="151"/>
      <c r="DJ88" s="151"/>
      <c r="DK88" s="151"/>
      <c r="DL88" s="151"/>
      <c r="DM88" s="151"/>
      <c r="DN88" s="151"/>
      <c r="DO88" s="151"/>
      <c r="DP88" s="151"/>
      <c r="DQ88" s="151"/>
      <c r="DR88" s="151"/>
      <c r="DS88" s="151"/>
      <c r="DT88" s="151"/>
      <c r="DU88" s="151"/>
      <c r="DV88" s="151"/>
      <c r="DW88" s="151"/>
      <c r="DX88" s="151"/>
      <c r="DY88" s="151"/>
      <c r="DZ88" s="151"/>
      <c r="EA88" s="151"/>
      <c r="EB88" s="151"/>
      <c r="EC88" s="151"/>
      <c r="ED88" s="151"/>
      <c r="EE88" s="151"/>
      <c r="EF88" s="151"/>
      <c r="EG88" s="151"/>
      <c r="EH88" s="151"/>
      <c r="EI88" s="151"/>
      <c r="EJ88" s="151"/>
      <c r="EK88" s="151"/>
      <c r="EL88" s="151"/>
      <c r="EM88" s="151"/>
      <c r="EN88" s="151"/>
      <c r="EO88" s="151"/>
      <c r="EP88" s="151"/>
      <c r="EQ88" s="151"/>
      <c r="ER88" s="151"/>
      <c r="ES88" s="151"/>
      <c r="ET88" s="151"/>
      <c r="EU88" s="151"/>
      <c r="EV88" s="151"/>
      <c r="EW88" s="151"/>
      <c r="EX88" s="151"/>
      <c r="EY88" s="151"/>
      <c r="EZ88" s="151"/>
      <c r="FA88" s="151"/>
      <c r="FB88" s="151"/>
      <c r="FC88" s="151"/>
      <c r="FD88" s="151"/>
      <c r="FE88" s="151"/>
      <c r="FF88" s="151"/>
      <c r="FG88" s="151"/>
      <c r="FH88" s="151"/>
      <c r="FI88" s="151"/>
      <c r="FJ88" s="151"/>
      <c r="FK88" s="151"/>
      <c r="FL88" s="151"/>
      <c r="FM88" s="151"/>
      <c r="FN88" s="151"/>
      <c r="FO88" s="151"/>
      <c r="FP88" s="151"/>
      <c r="FQ88" s="151"/>
      <c r="FR88" s="151"/>
      <c r="FS88" s="151"/>
      <c r="FT88" s="151"/>
      <c r="FU88" s="151"/>
      <c r="FV88" s="151"/>
      <c r="FW88" s="151"/>
      <c r="FX88" s="151"/>
      <c r="FY88" s="151"/>
      <c r="FZ88" s="151"/>
      <c r="GA88" s="151"/>
      <c r="GB88" s="151"/>
      <c r="GC88" s="151"/>
      <c r="GD88" s="151"/>
      <c r="GE88" s="151"/>
      <c r="GF88" s="151"/>
      <c r="GG88" s="151"/>
      <c r="GH88" s="151"/>
      <c r="GI88" s="151"/>
      <c r="GJ88" s="151"/>
      <c r="GK88" s="151"/>
      <c r="GL88" s="151"/>
      <c r="GM88" s="151"/>
      <c r="GN88" s="151"/>
      <c r="GO88" s="151"/>
      <c r="GP88" s="151"/>
    </row>
    <row r="89" spans="1:198" s="152" customFormat="1" ht="31">
      <c r="A89" s="899" t="s">
        <v>1778</v>
      </c>
      <c r="B89" s="885" t="s">
        <v>1589</v>
      </c>
      <c r="C89" s="900" t="s">
        <v>387</v>
      </c>
      <c r="D89" s="899">
        <v>3</v>
      </c>
      <c r="E89" s="901"/>
      <c r="F89" s="891">
        <f t="shared" si="4"/>
        <v>0</v>
      </c>
      <c r="G89" s="164"/>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c r="GK89" s="151"/>
      <c r="GL89" s="151"/>
      <c r="GM89" s="151"/>
      <c r="GN89" s="151"/>
      <c r="GO89" s="151"/>
      <c r="GP89" s="151"/>
    </row>
    <row r="90" spans="1:198" s="154" customFormat="1" ht="31">
      <c r="A90" s="899" t="s">
        <v>1779</v>
      </c>
      <c r="B90" s="885" t="s">
        <v>1590</v>
      </c>
      <c r="C90" s="900" t="s">
        <v>387</v>
      </c>
      <c r="D90" s="899">
        <v>4</v>
      </c>
      <c r="E90" s="901"/>
      <c r="F90" s="891">
        <f t="shared" si="4"/>
        <v>0</v>
      </c>
      <c r="G90" s="166"/>
    </row>
    <row r="91" spans="1:198" s="154" customFormat="1" ht="31">
      <c r="A91" s="899" t="s">
        <v>1780</v>
      </c>
      <c r="B91" s="885" t="s">
        <v>500</v>
      </c>
      <c r="C91" s="900" t="s">
        <v>50</v>
      </c>
      <c r="D91" s="899">
        <f>CEILING(5.1*D89,1)</f>
        <v>16</v>
      </c>
      <c r="E91" s="901"/>
      <c r="F91" s="891">
        <f t="shared" si="4"/>
        <v>0</v>
      </c>
      <c r="G91" s="166"/>
    </row>
    <row r="92" spans="1:198" s="154" customFormat="1" ht="15.5">
      <c r="A92" s="899" t="s">
        <v>1781</v>
      </c>
      <c r="B92" s="885" t="s">
        <v>501</v>
      </c>
      <c r="C92" s="900" t="s">
        <v>50</v>
      </c>
      <c r="D92" s="899">
        <f>D91*2</f>
        <v>32</v>
      </c>
      <c r="E92" s="901"/>
      <c r="F92" s="891">
        <f t="shared" si="4"/>
        <v>0</v>
      </c>
      <c r="G92" s="166"/>
    </row>
    <row r="93" spans="1:198" s="154" customFormat="1" ht="15.5">
      <c r="A93" s="899" t="s">
        <v>1782</v>
      </c>
      <c r="B93" s="885" t="s">
        <v>502</v>
      </c>
      <c r="C93" s="900" t="s">
        <v>50</v>
      </c>
      <c r="D93" s="899">
        <f>D92</f>
        <v>32</v>
      </c>
      <c r="E93" s="901"/>
      <c r="F93" s="891">
        <f t="shared" si="4"/>
        <v>0</v>
      </c>
      <c r="G93" s="166"/>
    </row>
    <row r="94" spans="1:198" s="154" customFormat="1" ht="15.5">
      <c r="A94" s="899" t="s">
        <v>34</v>
      </c>
      <c r="B94" s="890" t="s">
        <v>503</v>
      </c>
      <c r="C94" s="900" t="s">
        <v>34</v>
      </c>
      <c r="D94" s="899" t="s">
        <v>34</v>
      </c>
      <c r="E94" s="901"/>
      <c r="F94" s="891"/>
      <c r="G94" s="166"/>
    </row>
    <row r="95" spans="1:198" s="154" customFormat="1" ht="31">
      <c r="A95" s="899" t="s">
        <v>1783</v>
      </c>
      <c r="B95" s="885" t="s">
        <v>504</v>
      </c>
      <c r="C95" s="900" t="s">
        <v>34</v>
      </c>
      <c r="D95" s="899" t="s">
        <v>34</v>
      </c>
      <c r="E95" s="901"/>
      <c r="F95" s="891"/>
      <c r="G95" s="166"/>
    </row>
    <row r="96" spans="1:198" s="154" customFormat="1" ht="15.5">
      <c r="A96" s="899" t="s">
        <v>1784</v>
      </c>
      <c r="B96" s="885" t="s">
        <v>505</v>
      </c>
      <c r="C96" s="900" t="s">
        <v>387</v>
      </c>
      <c r="D96" s="899">
        <v>3</v>
      </c>
      <c r="E96" s="901"/>
      <c r="F96" s="891">
        <f t="shared" si="4"/>
        <v>0</v>
      </c>
      <c r="G96" s="166"/>
    </row>
    <row r="97" spans="1:198" s="154" customFormat="1" ht="15.5">
      <c r="A97" s="899" t="s">
        <v>1785</v>
      </c>
      <c r="B97" s="902" t="s">
        <v>506</v>
      </c>
      <c r="C97" s="903" t="s">
        <v>507</v>
      </c>
      <c r="D97" s="957">
        <f>D89*3/2</f>
        <v>4.5</v>
      </c>
      <c r="E97" s="904"/>
      <c r="F97" s="905">
        <f t="shared" si="4"/>
        <v>0</v>
      </c>
      <c r="G97" s="166"/>
    </row>
    <row r="98" spans="1:198" s="154" customFormat="1" ht="15.5">
      <c r="A98" s="899" t="s">
        <v>1786</v>
      </c>
      <c r="B98" s="885" t="s">
        <v>508</v>
      </c>
      <c r="C98" s="900" t="s">
        <v>387</v>
      </c>
      <c r="D98" s="899">
        <f>D96</f>
        <v>3</v>
      </c>
      <c r="E98" s="901"/>
      <c r="F98" s="891">
        <f t="shared" si="4"/>
        <v>0</v>
      </c>
      <c r="G98" s="166"/>
    </row>
    <row r="99" spans="1:198" s="154" customFormat="1" ht="15.5">
      <c r="A99" s="899" t="s">
        <v>34</v>
      </c>
      <c r="B99" s="890" t="s">
        <v>509</v>
      </c>
      <c r="C99" s="900" t="s">
        <v>34</v>
      </c>
      <c r="D99" s="899" t="s">
        <v>34</v>
      </c>
      <c r="E99" s="901"/>
      <c r="F99" s="891"/>
      <c r="G99" s="166"/>
    </row>
    <row r="100" spans="1:198" s="154" customFormat="1" ht="31">
      <c r="A100" s="899" t="s">
        <v>1787</v>
      </c>
      <c r="B100" s="885" t="s">
        <v>510</v>
      </c>
      <c r="C100" s="900" t="s">
        <v>146</v>
      </c>
      <c r="D100" s="899" t="s">
        <v>439</v>
      </c>
      <c r="E100" s="901"/>
      <c r="F100" s="891">
        <f>E100</f>
        <v>0</v>
      </c>
      <c r="G100" s="166"/>
    </row>
    <row r="101" spans="1:198" s="155" customFormat="1" ht="15.5">
      <c r="A101" s="906"/>
      <c r="B101" s="884" t="s">
        <v>1591</v>
      </c>
      <c r="C101" s="907"/>
      <c r="D101" s="906"/>
      <c r="E101" s="908"/>
      <c r="F101" s="895">
        <f>SUM(F89:F100)</f>
        <v>0</v>
      </c>
      <c r="G101" s="167"/>
    </row>
    <row r="102" spans="1:198" s="150" customFormat="1" ht="15.5">
      <c r="A102" s="896">
        <v>17.600000000000001</v>
      </c>
      <c r="B102" s="879" t="s">
        <v>1592</v>
      </c>
      <c r="C102" s="909"/>
      <c r="D102" s="898"/>
      <c r="E102" s="898"/>
      <c r="F102" s="891"/>
      <c r="G102" s="165"/>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c r="BV102" s="153"/>
      <c r="BW102" s="153"/>
      <c r="BX102" s="153"/>
      <c r="BY102" s="153"/>
      <c r="BZ102" s="153"/>
      <c r="CA102" s="153"/>
      <c r="CB102" s="153"/>
      <c r="CC102" s="153"/>
      <c r="CD102" s="153"/>
      <c r="CE102" s="153"/>
      <c r="CF102" s="153"/>
      <c r="CG102" s="153"/>
      <c r="CH102" s="153"/>
      <c r="CI102" s="153"/>
      <c r="CJ102" s="153"/>
      <c r="CK102" s="153"/>
      <c r="CL102" s="153"/>
      <c r="CM102" s="153"/>
      <c r="CN102" s="153"/>
      <c r="CO102" s="153"/>
      <c r="CP102" s="153"/>
      <c r="CQ102" s="153"/>
      <c r="CR102" s="153"/>
      <c r="CS102" s="153"/>
      <c r="CT102" s="153"/>
      <c r="CU102" s="153"/>
      <c r="CV102" s="153"/>
      <c r="CW102" s="153"/>
      <c r="CX102" s="153"/>
      <c r="CY102" s="153"/>
      <c r="CZ102" s="153"/>
      <c r="DA102" s="153"/>
      <c r="DB102" s="153"/>
      <c r="DC102" s="153"/>
      <c r="DD102" s="153"/>
      <c r="DE102" s="153"/>
      <c r="DF102" s="153"/>
      <c r="DG102" s="153"/>
      <c r="DH102" s="153"/>
      <c r="DI102" s="153"/>
      <c r="DJ102" s="153"/>
      <c r="DK102" s="153"/>
      <c r="DL102" s="153"/>
      <c r="DM102" s="153"/>
      <c r="DN102" s="153"/>
      <c r="DO102" s="153"/>
      <c r="DP102" s="153"/>
      <c r="DQ102" s="153"/>
      <c r="DR102" s="153"/>
      <c r="DS102" s="153"/>
      <c r="DT102" s="153"/>
      <c r="DU102" s="153"/>
      <c r="DV102" s="153"/>
      <c r="DW102" s="153"/>
      <c r="DX102" s="153"/>
      <c r="DY102" s="153"/>
      <c r="DZ102" s="153"/>
      <c r="EA102" s="153"/>
      <c r="EB102" s="153"/>
      <c r="EC102" s="153"/>
      <c r="ED102" s="153"/>
      <c r="EE102" s="153"/>
      <c r="EF102" s="153"/>
      <c r="EG102" s="153"/>
      <c r="EH102" s="153"/>
      <c r="EI102" s="153"/>
      <c r="EJ102" s="153"/>
      <c r="EK102" s="153"/>
      <c r="EL102" s="153"/>
      <c r="EM102" s="153"/>
      <c r="EN102" s="153"/>
      <c r="EO102" s="153"/>
      <c r="EP102" s="153"/>
      <c r="EQ102" s="153"/>
      <c r="ER102" s="153"/>
      <c r="ES102" s="153"/>
      <c r="ET102" s="153"/>
      <c r="EU102" s="153"/>
      <c r="EV102" s="153"/>
      <c r="EW102" s="153"/>
      <c r="EX102" s="153"/>
      <c r="EY102" s="153"/>
      <c r="EZ102" s="153"/>
      <c r="FA102" s="153"/>
      <c r="FB102" s="153"/>
      <c r="FC102" s="153"/>
      <c r="FD102" s="153"/>
      <c r="FE102" s="153"/>
      <c r="FF102" s="153"/>
      <c r="FG102" s="153"/>
      <c r="FH102" s="153"/>
      <c r="FI102" s="153"/>
      <c r="FJ102" s="153"/>
      <c r="FK102" s="153"/>
      <c r="FL102" s="153"/>
      <c r="FM102" s="153"/>
      <c r="FN102" s="153"/>
      <c r="FO102" s="153"/>
      <c r="FP102" s="153"/>
      <c r="FQ102" s="153"/>
      <c r="FR102" s="153"/>
      <c r="FS102" s="153"/>
      <c r="FT102" s="153"/>
      <c r="FU102" s="153"/>
      <c r="FV102" s="153"/>
      <c r="FW102" s="153"/>
      <c r="FX102" s="153"/>
      <c r="FY102" s="153"/>
      <c r="FZ102" s="153"/>
      <c r="GA102" s="153"/>
      <c r="GB102" s="153"/>
      <c r="GC102" s="153"/>
      <c r="GD102" s="153"/>
      <c r="GE102" s="153"/>
      <c r="GF102" s="153"/>
      <c r="GG102" s="153"/>
      <c r="GH102" s="153"/>
      <c r="GI102" s="153"/>
      <c r="GJ102" s="153"/>
      <c r="GK102" s="153"/>
      <c r="GL102" s="153"/>
      <c r="GM102" s="153"/>
      <c r="GN102" s="153"/>
      <c r="GO102" s="153"/>
      <c r="GP102" s="153"/>
    </row>
    <row r="103" spans="1:198" s="152" customFormat="1" ht="36.65" customHeight="1">
      <c r="A103" s="888" t="s">
        <v>1788</v>
      </c>
      <c r="B103" s="889" t="s">
        <v>511</v>
      </c>
      <c r="C103" s="880" t="s">
        <v>12</v>
      </c>
      <c r="D103" s="881">
        <v>21</v>
      </c>
      <c r="E103" s="881"/>
      <c r="F103" s="891">
        <f t="shared" si="4"/>
        <v>0</v>
      </c>
      <c r="G103" s="164"/>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c r="BI103" s="151"/>
      <c r="BJ103" s="151"/>
      <c r="BK103" s="151"/>
      <c r="BL103" s="151"/>
      <c r="BM103" s="151"/>
      <c r="BN103" s="151"/>
      <c r="BO103" s="151"/>
      <c r="BP103" s="151"/>
      <c r="BQ103" s="151"/>
      <c r="BR103" s="151"/>
      <c r="BS103" s="151"/>
      <c r="BT103" s="151"/>
      <c r="BU103" s="151"/>
      <c r="BV103" s="151"/>
      <c r="BW103" s="151"/>
      <c r="BX103" s="151"/>
      <c r="BY103" s="151"/>
      <c r="BZ103" s="151"/>
      <c r="CA103" s="151"/>
      <c r="CB103" s="151"/>
      <c r="CC103" s="151"/>
      <c r="CD103" s="151"/>
      <c r="CE103" s="151"/>
      <c r="CF103" s="151"/>
      <c r="CG103" s="151"/>
      <c r="CH103" s="151"/>
      <c r="CI103" s="151"/>
      <c r="CJ103" s="151"/>
      <c r="CK103" s="151"/>
      <c r="CL103" s="151"/>
      <c r="CM103" s="151"/>
      <c r="CN103" s="151"/>
      <c r="CO103" s="151"/>
      <c r="CP103" s="151"/>
      <c r="CQ103" s="151"/>
      <c r="CR103" s="151"/>
      <c r="CS103" s="151"/>
      <c r="CT103" s="151"/>
      <c r="CU103" s="151"/>
      <c r="CV103" s="151"/>
      <c r="CW103" s="151"/>
      <c r="CX103" s="151"/>
      <c r="CY103" s="151"/>
      <c r="CZ103" s="151"/>
      <c r="DA103" s="151"/>
      <c r="DB103" s="151"/>
      <c r="DC103" s="151"/>
      <c r="DD103" s="151"/>
      <c r="DE103" s="151"/>
      <c r="DF103" s="151"/>
      <c r="DG103" s="151"/>
      <c r="DH103" s="151"/>
      <c r="DI103" s="151"/>
      <c r="DJ103" s="151"/>
      <c r="DK103" s="151"/>
      <c r="DL103" s="151"/>
      <c r="DM103" s="151"/>
      <c r="DN103" s="151"/>
      <c r="DO103" s="151"/>
      <c r="DP103" s="151"/>
      <c r="DQ103" s="151"/>
      <c r="DR103" s="151"/>
      <c r="DS103" s="151"/>
      <c r="DT103" s="151"/>
      <c r="DU103" s="151"/>
      <c r="DV103" s="151"/>
      <c r="DW103" s="151"/>
      <c r="DX103" s="151"/>
      <c r="DY103" s="151"/>
      <c r="DZ103" s="151"/>
      <c r="EA103" s="151"/>
      <c r="EB103" s="151"/>
      <c r="EC103" s="151"/>
      <c r="ED103" s="151"/>
      <c r="EE103" s="151"/>
      <c r="EF103" s="151"/>
      <c r="EG103" s="151"/>
      <c r="EH103" s="151"/>
      <c r="EI103" s="151"/>
      <c r="EJ103" s="151"/>
      <c r="EK103" s="151"/>
      <c r="EL103" s="151"/>
      <c r="EM103" s="151"/>
      <c r="EN103" s="151"/>
      <c r="EO103" s="151"/>
      <c r="EP103" s="151"/>
      <c r="EQ103" s="151"/>
      <c r="ER103" s="151"/>
      <c r="ES103" s="151"/>
      <c r="ET103" s="151"/>
      <c r="EU103" s="151"/>
      <c r="EV103" s="151"/>
      <c r="EW103" s="151"/>
      <c r="EX103" s="151"/>
      <c r="EY103" s="151"/>
      <c r="EZ103" s="151"/>
      <c r="FA103" s="151"/>
      <c r="FB103" s="151"/>
      <c r="FC103" s="151"/>
      <c r="FD103" s="151"/>
      <c r="FE103" s="151"/>
      <c r="FF103" s="151"/>
      <c r="FG103" s="151"/>
      <c r="FH103" s="151"/>
      <c r="FI103" s="151"/>
      <c r="FJ103" s="151"/>
      <c r="FK103" s="151"/>
      <c r="FL103" s="151"/>
      <c r="FM103" s="151"/>
      <c r="FN103" s="151"/>
      <c r="FO103" s="151"/>
      <c r="FP103" s="151"/>
      <c r="FQ103" s="151"/>
      <c r="FR103" s="151"/>
      <c r="FS103" s="151"/>
      <c r="FT103" s="151"/>
      <c r="FU103" s="151"/>
      <c r="FV103" s="151"/>
      <c r="FW103" s="151"/>
      <c r="FX103" s="151"/>
      <c r="FY103" s="151"/>
      <c r="FZ103" s="151"/>
      <c r="GA103" s="151"/>
      <c r="GB103" s="151"/>
      <c r="GC103" s="151"/>
      <c r="GD103" s="151"/>
      <c r="GE103" s="151"/>
      <c r="GF103" s="151"/>
      <c r="GG103" s="151"/>
      <c r="GH103" s="151"/>
      <c r="GI103" s="151"/>
      <c r="GJ103" s="151"/>
      <c r="GK103" s="151"/>
      <c r="GL103" s="151"/>
      <c r="GM103" s="151"/>
      <c r="GN103" s="151"/>
      <c r="GO103" s="151"/>
      <c r="GP103" s="151"/>
    </row>
    <row r="104" spans="1:198" s="150" customFormat="1" ht="15.5">
      <c r="A104" s="910"/>
      <c r="B104" s="911" t="s">
        <v>1593</v>
      </c>
      <c r="C104" s="912"/>
      <c r="D104" s="913"/>
      <c r="E104" s="913"/>
      <c r="F104" s="914">
        <f>SUM(F103)</f>
        <v>0</v>
      </c>
      <c r="G104" s="165"/>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c r="BV104" s="153"/>
      <c r="BW104" s="153"/>
      <c r="BX104" s="153"/>
      <c r="BY104" s="153"/>
      <c r="BZ104" s="153"/>
      <c r="CA104" s="153"/>
      <c r="CB104" s="153"/>
      <c r="CC104" s="153"/>
      <c r="CD104" s="153"/>
      <c r="CE104" s="153"/>
      <c r="CF104" s="153"/>
      <c r="CG104" s="153"/>
      <c r="CH104" s="153"/>
      <c r="CI104" s="153"/>
      <c r="CJ104" s="153"/>
      <c r="CK104" s="153"/>
      <c r="CL104" s="153"/>
      <c r="CM104" s="153"/>
      <c r="CN104" s="153"/>
      <c r="CO104" s="153"/>
      <c r="CP104" s="153"/>
      <c r="CQ104" s="153"/>
      <c r="CR104" s="153"/>
      <c r="CS104" s="153"/>
      <c r="CT104" s="153"/>
      <c r="CU104" s="153"/>
      <c r="CV104" s="153"/>
      <c r="CW104" s="153"/>
      <c r="CX104" s="153"/>
      <c r="CY104" s="153"/>
      <c r="CZ104" s="153"/>
      <c r="DA104" s="153"/>
      <c r="DB104" s="153"/>
      <c r="DC104" s="153"/>
      <c r="DD104" s="153"/>
      <c r="DE104" s="153"/>
      <c r="DF104" s="153"/>
      <c r="DG104" s="153"/>
      <c r="DH104" s="153"/>
      <c r="DI104" s="153"/>
      <c r="DJ104" s="153"/>
      <c r="DK104" s="153"/>
      <c r="DL104" s="153"/>
      <c r="DM104" s="153"/>
      <c r="DN104" s="153"/>
      <c r="DO104" s="153"/>
      <c r="DP104" s="153"/>
      <c r="DQ104" s="153"/>
      <c r="DR104" s="153"/>
      <c r="DS104" s="153"/>
      <c r="DT104" s="153"/>
      <c r="DU104" s="153"/>
      <c r="DV104" s="153"/>
      <c r="DW104" s="153"/>
      <c r="DX104" s="153"/>
      <c r="DY104" s="153"/>
      <c r="DZ104" s="153"/>
      <c r="EA104" s="153"/>
      <c r="EB104" s="153"/>
      <c r="EC104" s="153"/>
      <c r="ED104" s="153"/>
      <c r="EE104" s="153"/>
      <c r="EF104" s="153"/>
      <c r="EG104" s="153"/>
      <c r="EH104" s="153"/>
      <c r="EI104" s="153"/>
      <c r="EJ104" s="153"/>
      <c r="EK104" s="153"/>
      <c r="EL104" s="153"/>
      <c r="EM104" s="153"/>
      <c r="EN104" s="153"/>
      <c r="EO104" s="153"/>
      <c r="EP104" s="153"/>
      <c r="EQ104" s="153"/>
      <c r="ER104" s="153"/>
      <c r="ES104" s="153"/>
      <c r="ET104" s="153"/>
      <c r="EU104" s="153"/>
      <c r="EV104" s="153"/>
      <c r="EW104" s="153"/>
      <c r="EX104" s="153"/>
      <c r="EY104" s="153"/>
      <c r="EZ104" s="153"/>
      <c r="FA104" s="153"/>
      <c r="FB104" s="153"/>
      <c r="FC104" s="153"/>
      <c r="FD104" s="153"/>
      <c r="FE104" s="153"/>
      <c r="FF104" s="153"/>
      <c r="FG104" s="153"/>
      <c r="FH104" s="153"/>
      <c r="FI104" s="153"/>
      <c r="FJ104" s="153"/>
      <c r="FK104" s="153"/>
      <c r="FL104" s="153"/>
      <c r="FM104" s="153"/>
      <c r="FN104" s="153"/>
      <c r="FO104" s="153"/>
      <c r="FP104" s="153"/>
      <c r="FQ104" s="153"/>
      <c r="FR104" s="153"/>
      <c r="FS104" s="153"/>
      <c r="FT104" s="153"/>
      <c r="FU104" s="153"/>
      <c r="FV104" s="153"/>
      <c r="FW104" s="153"/>
      <c r="FX104" s="153"/>
      <c r="FY104" s="153"/>
      <c r="FZ104" s="153"/>
      <c r="GA104" s="153"/>
      <c r="GB104" s="153"/>
      <c r="GC104" s="153"/>
      <c r="GD104" s="153"/>
      <c r="GE104" s="153"/>
      <c r="GF104" s="153"/>
      <c r="GG104" s="153"/>
      <c r="GH104" s="153"/>
      <c r="GI104" s="153"/>
      <c r="GJ104" s="153"/>
      <c r="GK104" s="153"/>
      <c r="GL104" s="153"/>
      <c r="GM104" s="153"/>
      <c r="GN104" s="153"/>
      <c r="GO104" s="153"/>
      <c r="GP104" s="153"/>
    </row>
    <row r="105" spans="1:198">
      <c r="A105" s="831" t="s">
        <v>0</v>
      </c>
      <c r="B105" s="832" t="s">
        <v>1</v>
      </c>
      <c r="C105" s="833" t="s">
        <v>2</v>
      </c>
      <c r="D105" s="942" t="s">
        <v>426</v>
      </c>
      <c r="E105" s="834" t="s">
        <v>368</v>
      </c>
      <c r="F105" s="835" t="s">
        <v>472</v>
      </c>
    </row>
    <row r="106" spans="1:198" s="570" customFormat="1">
      <c r="A106" s="915">
        <v>17.7</v>
      </c>
      <c r="B106" s="916" t="s">
        <v>1077</v>
      </c>
      <c r="C106" s="854"/>
      <c r="D106" s="945"/>
      <c r="E106" s="854"/>
      <c r="F106" s="855"/>
    </row>
    <row r="107" spans="1:198" s="570" customFormat="1">
      <c r="A107" s="852"/>
      <c r="B107" s="853" t="s">
        <v>55</v>
      </c>
      <c r="C107" s="854"/>
      <c r="D107" s="945"/>
      <c r="E107" s="854"/>
      <c r="F107" s="855"/>
    </row>
    <row r="108" spans="1:198" s="570" customFormat="1">
      <c r="A108" s="852"/>
      <c r="B108" s="853" t="s">
        <v>56</v>
      </c>
      <c r="C108" s="854"/>
      <c r="D108" s="945"/>
      <c r="E108" s="854"/>
      <c r="F108" s="855"/>
    </row>
    <row r="109" spans="1:198" s="570" customFormat="1" ht="29">
      <c r="A109" s="852" t="s">
        <v>1789</v>
      </c>
      <c r="B109" s="856" t="s">
        <v>1594</v>
      </c>
      <c r="C109" s="854" t="s">
        <v>33</v>
      </c>
      <c r="D109" s="945">
        <f>D51</f>
        <v>115</v>
      </c>
      <c r="E109" s="854"/>
      <c r="F109" s="855">
        <f>E109*D109</f>
        <v>0</v>
      </c>
    </row>
    <row r="110" spans="1:198" s="570" customFormat="1">
      <c r="A110" s="852" t="s">
        <v>1790</v>
      </c>
      <c r="B110" s="856" t="s">
        <v>1042</v>
      </c>
      <c r="C110" s="854" t="s">
        <v>33</v>
      </c>
      <c r="D110" s="945">
        <f>D52*2</f>
        <v>74</v>
      </c>
      <c r="E110" s="854"/>
      <c r="F110" s="855">
        <f>E110*D110</f>
        <v>0</v>
      </c>
    </row>
    <row r="111" spans="1:198" s="570" customFormat="1">
      <c r="A111" s="852" t="s">
        <v>1791</v>
      </c>
      <c r="B111" s="856" t="s">
        <v>1601</v>
      </c>
      <c r="C111" s="854" t="s">
        <v>33</v>
      </c>
      <c r="D111" s="945">
        <f>D26</f>
        <v>81.900000000000006</v>
      </c>
      <c r="E111" s="854"/>
      <c r="F111" s="855">
        <f>E111*D111</f>
        <v>0</v>
      </c>
    </row>
    <row r="112" spans="1:198" s="570" customFormat="1">
      <c r="A112" s="852"/>
      <c r="B112" s="916" t="s">
        <v>18</v>
      </c>
      <c r="C112" s="854"/>
      <c r="D112" s="945"/>
      <c r="E112" s="854"/>
      <c r="F112" s="855"/>
    </row>
    <row r="113" spans="1:7" s="570" customFormat="1">
      <c r="A113" s="852"/>
      <c r="B113" s="853" t="s">
        <v>58</v>
      </c>
      <c r="C113" s="854"/>
      <c r="D113" s="945"/>
      <c r="E113" s="854"/>
      <c r="F113" s="855"/>
    </row>
    <row r="114" spans="1:7" s="570" customFormat="1">
      <c r="A114" s="852" t="s">
        <v>1792</v>
      </c>
      <c r="B114" s="856" t="s">
        <v>1078</v>
      </c>
      <c r="C114" s="854" t="s">
        <v>33</v>
      </c>
      <c r="D114" s="958">
        <f>D18</f>
        <v>81.900000000000006</v>
      </c>
      <c r="E114" s="854"/>
      <c r="F114" s="855">
        <f>E114*D114</f>
        <v>0</v>
      </c>
    </row>
    <row r="115" spans="1:7" s="570" customFormat="1">
      <c r="A115" s="852" t="s">
        <v>1793</v>
      </c>
      <c r="B115" s="856" t="s">
        <v>1079</v>
      </c>
      <c r="C115" s="854" t="s">
        <v>50</v>
      </c>
      <c r="D115" s="945">
        <v>60</v>
      </c>
      <c r="E115" s="854"/>
      <c r="F115" s="855">
        <f t="shared" ref="F115" si="5">D115*E115</f>
        <v>0</v>
      </c>
    </row>
    <row r="116" spans="1:7" s="570" customFormat="1">
      <c r="A116" s="852"/>
      <c r="B116" s="916" t="s">
        <v>392</v>
      </c>
      <c r="C116" s="854"/>
      <c r="D116" s="945"/>
      <c r="E116" s="854"/>
      <c r="F116" s="855"/>
    </row>
    <row r="117" spans="1:7" s="570" customFormat="1">
      <c r="A117" s="852"/>
      <c r="B117" s="916" t="s">
        <v>1043</v>
      </c>
      <c r="C117" s="854"/>
      <c r="D117" s="945"/>
      <c r="E117" s="854"/>
      <c r="F117" s="855"/>
    </row>
    <row r="118" spans="1:7" s="570" customFormat="1">
      <c r="A118" s="852"/>
      <c r="B118" s="916" t="s">
        <v>1044</v>
      </c>
      <c r="C118" s="854"/>
      <c r="D118" s="945"/>
      <c r="E118" s="854"/>
      <c r="F118" s="855"/>
    </row>
    <row r="119" spans="1:7" s="570" customFormat="1">
      <c r="A119" s="852" t="s">
        <v>1794</v>
      </c>
      <c r="B119" s="856" t="s">
        <v>1045</v>
      </c>
      <c r="C119" s="854" t="s">
        <v>33</v>
      </c>
      <c r="D119" s="945">
        <f>D109</f>
        <v>115</v>
      </c>
      <c r="E119" s="854"/>
      <c r="F119" s="855">
        <f>E119*D119</f>
        <v>0</v>
      </c>
    </row>
    <row r="120" spans="1:7" s="570" customFormat="1">
      <c r="A120" s="852"/>
      <c r="B120" s="916" t="s">
        <v>1046</v>
      </c>
      <c r="C120" s="854"/>
      <c r="D120" s="945"/>
      <c r="E120" s="854"/>
      <c r="F120" s="855"/>
    </row>
    <row r="121" spans="1:7" s="570" customFormat="1">
      <c r="A121" s="852"/>
      <c r="B121" s="916" t="s">
        <v>1047</v>
      </c>
      <c r="C121" s="854"/>
      <c r="D121" s="945"/>
      <c r="E121" s="854"/>
      <c r="F121" s="855"/>
    </row>
    <row r="122" spans="1:7" s="570" customFormat="1">
      <c r="A122" s="852" t="s">
        <v>1795</v>
      </c>
      <c r="B122" s="856" t="s">
        <v>1048</v>
      </c>
      <c r="C122" s="854" t="s">
        <v>33</v>
      </c>
      <c r="D122" s="945">
        <f>D110</f>
        <v>74</v>
      </c>
      <c r="E122" s="854"/>
      <c r="F122" s="855">
        <f>E122*D122</f>
        <v>0</v>
      </c>
    </row>
    <row r="123" spans="1:7" s="570" customFormat="1">
      <c r="A123" s="852" t="s">
        <v>1796</v>
      </c>
      <c r="B123" s="856" t="s">
        <v>1602</v>
      </c>
      <c r="C123" s="854" t="s">
        <v>33</v>
      </c>
      <c r="D123" s="958">
        <f>D111</f>
        <v>81.900000000000006</v>
      </c>
      <c r="E123" s="854"/>
      <c r="F123" s="855">
        <f>E123*D123</f>
        <v>0</v>
      </c>
    </row>
    <row r="124" spans="1:7" s="155" customFormat="1" ht="15.5">
      <c r="A124" s="917"/>
      <c r="B124" s="894" t="s">
        <v>618</v>
      </c>
      <c r="C124" s="918"/>
      <c r="D124" s="917"/>
      <c r="E124" s="917"/>
      <c r="F124" s="895">
        <f>SUM(F106:F123)</f>
        <v>0</v>
      </c>
      <c r="G124" s="167"/>
    </row>
    <row r="125" spans="1:7">
      <c r="A125" s="831"/>
      <c r="B125" s="832"/>
      <c r="C125" s="833"/>
      <c r="D125" s="942"/>
      <c r="E125" s="834"/>
      <c r="F125" s="835"/>
    </row>
    <row r="126" spans="1:7" s="11" customFormat="1" ht="31">
      <c r="A126" s="919">
        <v>17.8</v>
      </c>
      <c r="B126" s="729" t="s">
        <v>1595</v>
      </c>
      <c r="C126" s="737"/>
      <c r="D126" s="959"/>
      <c r="E126" s="920"/>
      <c r="F126" s="921"/>
      <c r="G126" s="131"/>
    </row>
    <row r="127" spans="1:7" s="157" customFormat="1" ht="15.5">
      <c r="A127" s="733"/>
      <c r="B127" s="729" t="s">
        <v>193</v>
      </c>
      <c r="C127" s="737"/>
      <c r="D127" s="959"/>
      <c r="E127" s="920"/>
      <c r="F127" s="922"/>
      <c r="G127" s="169"/>
    </row>
    <row r="128" spans="1:7" s="157" customFormat="1" ht="62">
      <c r="A128" s="733"/>
      <c r="B128" s="923" t="s">
        <v>479</v>
      </c>
      <c r="C128" s="735"/>
      <c r="D128" s="959"/>
      <c r="E128" s="920"/>
      <c r="F128" s="922"/>
      <c r="G128" s="169"/>
    </row>
    <row r="129" spans="1:7" s="157" customFormat="1" ht="15.5">
      <c r="A129" s="733" t="s">
        <v>1797</v>
      </c>
      <c r="B129" s="738" t="s">
        <v>619</v>
      </c>
      <c r="C129" s="735" t="s">
        <v>5</v>
      </c>
      <c r="D129" s="959">
        <v>3</v>
      </c>
      <c r="E129" s="920"/>
      <c r="F129" s="922">
        <f t="shared" ref="F129:F142" si="6">E129*D129</f>
        <v>0</v>
      </c>
      <c r="G129" s="169"/>
    </row>
    <row r="130" spans="1:7" s="157" customFormat="1" ht="15.5">
      <c r="A130" s="733"/>
      <c r="B130" s="739" t="s">
        <v>198</v>
      </c>
      <c r="C130" s="735"/>
      <c r="D130" s="959"/>
      <c r="E130" s="920"/>
      <c r="F130" s="922">
        <f t="shared" si="6"/>
        <v>0</v>
      </c>
      <c r="G130" s="169"/>
    </row>
    <row r="131" spans="1:7" s="157" customFormat="1" ht="15.5">
      <c r="A131" s="733" t="s">
        <v>1798</v>
      </c>
      <c r="B131" s="738" t="s">
        <v>269</v>
      </c>
      <c r="C131" s="735" t="s">
        <v>12</v>
      </c>
      <c r="D131" s="959">
        <f>D129</f>
        <v>3</v>
      </c>
      <c r="E131" s="920"/>
      <c r="F131" s="922">
        <f t="shared" si="6"/>
        <v>0</v>
      </c>
      <c r="G131" s="169"/>
    </row>
    <row r="132" spans="1:7" s="157" customFormat="1" ht="15.5">
      <c r="A132" s="733"/>
      <c r="B132" s="729" t="s">
        <v>199</v>
      </c>
      <c r="C132" s="737"/>
      <c r="D132" s="959"/>
      <c r="E132" s="920"/>
      <c r="F132" s="922">
        <f t="shared" si="6"/>
        <v>0</v>
      </c>
      <c r="G132" s="169"/>
    </row>
    <row r="133" spans="1:7" s="157" customFormat="1" ht="133.75" customHeight="1">
      <c r="A133" s="733"/>
      <c r="B133" s="924" t="s">
        <v>480</v>
      </c>
      <c r="C133" s="735"/>
      <c r="D133" s="959"/>
      <c r="E133" s="920"/>
      <c r="F133" s="922"/>
      <c r="G133" s="169"/>
    </row>
    <row r="134" spans="1:7" s="157" customFormat="1" ht="15.5">
      <c r="A134" s="733"/>
      <c r="B134" s="741" t="s">
        <v>206</v>
      </c>
      <c r="C134" s="735"/>
      <c r="D134" s="959"/>
      <c r="E134" s="920"/>
      <c r="F134" s="922"/>
      <c r="G134" s="169"/>
    </row>
    <row r="135" spans="1:7" s="157" customFormat="1" ht="15.5">
      <c r="A135" s="733" t="s">
        <v>1799</v>
      </c>
      <c r="B135" s="741" t="s">
        <v>207</v>
      </c>
      <c r="C135" s="735" t="s">
        <v>12</v>
      </c>
      <c r="D135" s="959">
        <v>6</v>
      </c>
      <c r="E135" s="920"/>
      <c r="F135" s="922">
        <f t="shared" si="6"/>
        <v>0</v>
      </c>
      <c r="G135" s="169"/>
    </row>
    <row r="136" spans="1:7" s="157" customFormat="1" ht="15.5">
      <c r="A136" s="733"/>
      <c r="B136" s="741"/>
      <c r="C136" s="735"/>
      <c r="D136" s="959"/>
      <c r="E136" s="920"/>
      <c r="F136" s="922"/>
      <c r="G136" s="169"/>
    </row>
    <row r="137" spans="1:7">
      <c r="A137" s="831" t="s">
        <v>0</v>
      </c>
      <c r="B137" s="832" t="s">
        <v>1</v>
      </c>
      <c r="C137" s="833" t="s">
        <v>2</v>
      </c>
      <c r="D137" s="942" t="s">
        <v>426</v>
      </c>
      <c r="E137" s="834" t="s">
        <v>368</v>
      </c>
      <c r="F137" s="835" t="s">
        <v>472</v>
      </c>
    </row>
    <row r="138" spans="1:7" s="157" customFormat="1" ht="15.5">
      <c r="A138" s="733"/>
      <c r="B138" s="739" t="s">
        <v>514</v>
      </c>
      <c r="C138" s="737"/>
      <c r="D138" s="959"/>
      <c r="E138" s="920"/>
      <c r="F138" s="922">
        <f t="shared" si="6"/>
        <v>0</v>
      </c>
      <c r="G138" s="169"/>
    </row>
    <row r="139" spans="1:7" s="157" customFormat="1" ht="93">
      <c r="A139" s="733"/>
      <c r="B139" s="738" t="s">
        <v>620</v>
      </c>
      <c r="C139" s="735"/>
      <c r="D139" s="959"/>
      <c r="E139" s="920"/>
      <c r="F139" s="922">
        <f t="shared" si="6"/>
        <v>0</v>
      </c>
      <c r="G139" s="169"/>
    </row>
    <row r="140" spans="1:7" s="157" customFormat="1" ht="15.5">
      <c r="A140" s="733" t="s">
        <v>1800</v>
      </c>
      <c r="B140" s="741" t="s">
        <v>516</v>
      </c>
      <c r="C140" s="735" t="s">
        <v>4</v>
      </c>
      <c r="D140" s="959">
        <v>80</v>
      </c>
      <c r="E140" s="920"/>
      <c r="F140" s="922">
        <f t="shared" si="6"/>
        <v>0</v>
      </c>
      <c r="G140" s="169"/>
    </row>
    <row r="141" spans="1:7" s="157" customFormat="1" ht="46.5">
      <c r="A141" s="925"/>
      <c r="B141" s="723" t="s">
        <v>621</v>
      </c>
      <c r="C141" s="745"/>
      <c r="D141" s="959"/>
      <c r="E141" s="920"/>
      <c r="F141" s="922">
        <f t="shared" si="6"/>
        <v>0</v>
      </c>
      <c r="G141" s="169"/>
    </row>
    <row r="142" spans="1:7" s="157" customFormat="1" ht="15.5">
      <c r="A142" s="925" t="s">
        <v>1801</v>
      </c>
      <c r="B142" s="746" t="s">
        <v>518</v>
      </c>
      <c r="C142" s="745" t="s">
        <v>519</v>
      </c>
      <c r="D142" s="959">
        <v>3</v>
      </c>
      <c r="E142" s="920"/>
      <c r="F142" s="922">
        <f t="shared" si="6"/>
        <v>0</v>
      </c>
      <c r="G142" s="169"/>
    </row>
    <row r="143" spans="1:7" s="158" customFormat="1" ht="15.5">
      <c r="A143" s="926"/>
      <c r="B143" s="747" t="s">
        <v>1596</v>
      </c>
      <c r="C143" s="636"/>
      <c r="D143" s="960"/>
      <c r="E143" s="927"/>
      <c r="F143" s="928">
        <f>SUM(F128:F142)</f>
        <v>0</v>
      </c>
      <c r="G143" s="170"/>
    </row>
    <row r="144" spans="1:7">
      <c r="A144" s="615"/>
      <c r="B144" s="674"/>
      <c r="C144" s="648"/>
      <c r="D144" s="951"/>
      <c r="E144" s="929"/>
      <c r="F144" s="930"/>
      <c r="G144" s="159"/>
    </row>
    <row r="145" spans="1:7" s="102" customFormat="1" ht="29">
      <c r="A145" s="634">
        <v>17.899999999999999</v>
      </c>
      <c r="B145" s="635" t="s">
        <v>1597</v>
      </c>
      <c r="C145" s="636"/>
      <c r="D145" s="961"/>
      <c r="E145" s="637"/>
      <c r="F145" s="921"/>
      <c r="G145" s="171"/>
    </row>
    <row r="146" spans="1:7" ht="29">
      <c r="A146" s="610" t="s">
        <v>1802</v>
      </c>
      <c r="B146" s="610" t="s">
        <v>1246</v>
      </c>
      <c r="C146" s="610" t="s">
        <v>33</v>
      </c>
      <c r="D146" s="962">
        <f>CEILING(9*0.8,1)</f>
        <v>8</v>
      </c>
      <c r="E146" s="638"/>
      <c r="F146" s="931">
        <f>D146*E146</f>
        <v>0</v>
      </c>
      <c r="G146" s="159"/>
    </row>
    <row r="147" spans="1:7">
      <c r="A147" s="610" t="s">
        <v>1803</v>
      </c>
      <c r="B147" s="610" t="s">
        <v>624</v>
      </c>
      <c r="C147" s="610" t="s">
        <v>33</v>
      </c>
      <c r="D147" s="962">
        <f>CEILING(0.8*9.5,1)</f>
        <v>8</v>
      </c>
      <c r="E147" s="638"/>
      <c r="F147" s="931">
        <f t="shared" ref="F147:F161" si="7">D147*E147</f>
        <v>0</v>
      </c>
      <c r="G147" s="159"/>
    </row>
    <row r="148" spans="1:7" ht="29">
      <c r="A148" s="610" t="s">
        <v>1804</v>
      </c>
      <c r="B148" s="610" t="s">
        <v>625</v>
      </c>
      <c r="C148" s="610" t="s">
        <v>33</v>
      </c>
      <c r="D148" s="962">
        <f>D147</f>
        <v>8</v>
      </c>
      <c r="E148" s="638"/>
      <c r="F148" s="931">
        <f t="shared" si="7"/>
        <v>0</v>
      </c>
      <c r="G148" s="159"/>
    </row>
    <row r="149" spans="1:7" s="102" customFormat="1">
      <c r="A149" s="610" t="s">
        <v>1805</v>
      </c>
      <c r="B149" s="610" t="s">
        <v>1247</v>
      </c>
      <c r="C149" s="610" t="s">
        <v>33</v>
      </c>
      <c r="D149" s="962">
        <f>D148</f>
        <v>8</v>
      </c>
      <c r="E149" s="638"/>
      <c r="F149" s="931">
        <f t="shared" si="7"/>
        <v>0</v>
      </c>
      <c r="G149" s="171"/>
    </row>
    <row r="150" spans="1:7">
      <c r="A150" s="610" t="s">
        <v>1806</v>
      </c>
      <c r="B150" s="610" t="s">
        <v>627</v>
      </c>
      <c r="C150" s="610" t="s">
        <v>50</v>
      </c>
      <c r="D150" s="962">
        <f>CEILING(0.8+6.5+0.8+3,1)</f>
        <v>12</v>
      </c>
      <c r="E150" s="638"/>
      <c r="F150" s="931">
        <f t="shared" si="7"/>
        <v>0</v>
      </c>
      <c r="G150" s="159"/>
    </row>
    <row r="151" spans="1:7">
      <c r="A151" s="610" t="s">
        <v>1807</v>
      </c>
      <c r="B151" s="610" t="s">
        <v>628</v>
      </c>
      <c r="C151" s="610" t="s">
        <v>33</v>
      </c>
      <c r="D151" s="962">
        <f>D149*2</f>
        <v>16</v>
      </c>
      <c r="E151" s="638"/>
      <c r="F151" s="931">
        <f t="shared" si="7"/>
        <v>0</v>
      </c>
      <c r="G151" s="159"/>
    </row>
    <row r="152" spans="1:7">
      <c r="A152" s="610" t="s">
        <v>1808</v>
      </c>
      <c r="B152" s="610" t="s">
        <v>629</v>
      </c>
      <c r="C152" s="610" t="s">
        <v>33</v>
      </c>
      <c r="D152" s="962">
        <f>D148</f>
        <v>8</v>
      </c>
      <c r="E152" s="638"/>
      <c r="F152" s="931">
        <f t="shared" si="7"/>
        <v>0</v>
      </c>
      <c r="G152" s="159"/>
    </row>
    <row r="153" spans="1:7" ht="29">
      <c r="A153" s="610" t="s">
        <v>1809</v>
      </c>
      <c r="B153" s="610" t="s">
        <v>1248</v>
      </c>
      <c r="C153" s="610" t="s">
        <v>33</v>
      </c>
      <c r="D153" s="962">
        <f>CEILING(9*0.8,1)</f>
        <v>8</v>
      </c>
      <c r="E153" s="638"/>
      <c r="F153" s="931">
        <f t="shared" si="7"/>
        <v>0</v>
      </c>
      <c r="G153" s="159"/>
    </row>
    <row r="154" spans="1:7">
      <c r="A154" s="610" t="s">
        <v>1810</v>
      </c>
      <c r="B154" s="610" t="s">
        <v>631</v>
      </c>
      <c r="C154" s="610" t="s">
        <v>422</v>
      </c>
      <c r="D154" s="962">
        <v>25</v>
      </c>
      <c r="E154" s="638"/>
      <c r="F154" s="931">
        <f t="shared" si="7"/>
        <v>0</v>
      </c>
      <c r="G154" s="159"/>
    </row>
    <row r="155" spans="1:7">
      <c r="A155" s="610" t="s">
        <v>1811</v>
      </c>
      <c r="B155" s="610" t="s">
        <v>634</v>
      </c>
      <c r="C155" s="610"/>
      <c r="D155" s="962"/>
      <c r="E155" s="638"/>
      <c r="F155" s="931"/>
      <c r="G155" s="159"/>
    </row>
    <row r="156" spans="1:7">
      <c r="A156" s="610"/>
      <c r="B156" s="610" t="s">
        <v>1249</v>
      </c>
      <c r="C156" s="610" t="s">
        <v>33</v>
      </c>
      <c r="D156" s="962">
        <f>D153</f>
        <v>8</v>
      </c>
      <c r="E156" s="638"/>
      <c r="F156" s="931">
        <f t="shared" si="7"/>
        <v>0</v>
      </c>
      <c r="G156" s="159"/>
    </row>
    <row r="157" spans="1:7">
      <c r="A157" s="610"/>
      <c r="B157" s="610"/>
      <c r="C157" s="610"/>
      <c r="D157" s="962"/>
      <c r="E157" s="638"/>
      <c r="F157" s="931"/>
      <c r="G157" s="159"/>
    </row>
    <row r="158" spans="1:7">
      <c r="A158" s="608"/>
      <c r="B158" s="608" t="s">
        <v>635</v>
      </c>
      <c r="C158" s="610"/>
      <c r="D158" s="962"/>
      <c r="E158" s="638"/>
      <c r="F158" s="931"/>
      <c r="G158" s="159"/>
    </row>
    <row r="159" spans="1:7" ht="29">
      <c r="A159" s="610" t="s">
        <v>1812</v>
      </c>
      <c r="B159" s="610" t="s">
        <v>636</v>
      </c>
      <c r="C159" s="610" t="s">
        <v>33</v>
      </c>
      <c r="D159" s="962">
        <v>30</v>
      </c>
      <c r="E159" s="638"/>
      <c r="F159" s="931">
        <f t="shared" si="7"/>
        <v>0</v>
      </c>
      <c r="G159" s="159"/>
    </row>
    <row r="160" spans="1:7">
      <c r="A160" s="610" t="s">
        <v>1813</v>
      </c>
      <c r="B160" s="610" t="s">
        <v>637</v>
      </c>
      <c r="C160" s="610" t="s">
        <v>422</v>
      </c>
      <c r="D160" s="962">
        <v>15</v>
      </c>
      <c r="E160" s="638"/>
      <c r="F160" s="931">
        <f t="shared" si="7"/>
        <v>0</v>
      </c>
      <c r="G160" s="159"/>
    </row>
    <row r="161" spans="1:7">
      <c r="A161" s="610" t="s">
        <v>1814</v>
      </c>
      <c r="B161" s="610" t="s">
        <v>634</v>
      </c>
      <c r="C161" s="610" t="s">
        <v>33</v>
      </c>
      <c r="D161" s="962">
        <v>30</v>
      </c>
      <c r="E161" s="638"/>
      <c r="F161" s="931">
        <f t="shared" si="7"/>
        <v>0</v>
      </c>
      <c r="G161" s="159"/>
    </row>
    <row r="162" spans="1:7">
      <c r="A162" s="634"/>
      <c r="B162" s="635" t="s">
        <v>1250</v>
      </c>
      <c r="C162" s="639"/>
      <c r="D162" s="961"/>
      <c r="E162" s="640"/>
      <c r="F162" s="930">
        <f>SUM(F145:F161)</f>
        <v>0</v>
      </c>
      <c r="G162" s="159"/>
    </row>
    <row r="163" spans="1:7">
      <c r="A163" s="615"/>
      <c r="B163" s="616"/>
      <c r="C163" s="648"/>
      <c r="D163" s="951"/>
      <c r="E163" s="929"/>
      <c r="F163" s="930"/>
      <c r="G163" s="159"/>
    </row>
    <row r="164" spans="1:7">
      <c r="A164" s="615"/>
      <c r="B164" s="616"/>
      <c r="C164" s="648"/>
      <c r="D164" s="951"/>
      <c r="E164" s="929"/>
      <c r="F164" s="930"/>
      <c r="G164" s="159"/>
    </row>
    <row r="165" spans="1:7">
      <c r="A165" s="615"/>
      <c r="B165" s="616"/>
      <c r="C165" s="648"/>
      <c r="D165" s="951"/>
      <c r="E165" s="929"/>
      <c r="F165" s="930"/>
      <c r="G165" s="159"/>
    </row>
    <row r="166" spans="1:7">
      <c r="A166" s="615"/>
      <c r="B166" s="616"/>
      <c r="C166" s="648"/>
      <c r="D166" s="951"/>
      <c r="E166" s="929"/>
      <c r="F166" s="930"/>
      <c r="G166" s="159"/>
    </row>
    <row r="167" spans="1:7">
      <c r="A167" s="615"/>
      <c r="B167" s="616"/>
      <c r="C167" s="648"/>
      <c r="D167" s="951"/>
      <c r="E167" s="929"/>
      <c r="F167" s="930"/>
      <c r="G167" s="159"/>
    </row>
    <row r="168" spans="1:7">
      <c r="A168" s="615"/>
      <c r="B168" s="616"/>
      <c r="C168" s="648"/>
      <c r="D168" s="951"/>
      <c r="E168" s="929"/>
      <c r="F168" s="930"/>
      <c r="G168" s="159"/>
    </row>
    <row r="169" spans="1:7">
      <c r="A169" s="615"/>
      <c r="B169" s="616"/>
      <c r="C169" s="648"/>
      <c r="D169" s="951"/>
      <c r="E169" s="929"/>
      <c r="F169" s="930"/>
      <c r="G169" s="159"/>
    </row>
    <row r="170" spans="1:7">
      <c r="A170" s="615"/>
      <c r="B170" s="616"/>
      <c r="C170" s="648"/>
      <c r="D170" s="951"/>
      <c r="E170" s="929"/>
      <c r="F170" s="930"/>
      <c r="G170" s="159"/>
    </row>
    <row r="171" spans="1:7">
      <c r="A171" s="615"/>
      <c r="B171" s="964" t="s">
        <v>1924</v>
      </c>
      <c r="C171" s="933"/>
      <c r="D171" s="615"/>
      <c r="E171" s="934"/>
      <c r="F171" s="935"/>
    </row>
    <row r="172" spans="1:7">
      <c r="A172" s="615"/>
      <c r="B172" s="965" t="str">
        <f>B7</f>
        <v>ELEMENT NO. 1 : SUB-STRUCTURES (all provisional)</v>
      </c>
      <c r="C172" s="933"/>
      <c r="D172" s="615"/>
      <c r="E172" s="934"/>
      <c r="F172" s="935">
        <f>F32</f>
        <v>0</v>
      </c>
    </row>
    <row r="173" spans="1:7">
      <c r="A173" s="615"/>
      <c r="B173" s="965" t="str">
        <f>B34</f>
        <v>ELEMENT NO. 2: SUPER STRUCTURE CONCRETE</v>
      </c>
      <c r="C173" s="933"/>
      <c r="D173" s="615"/>
      <c r="E173" s="934"/>
      <c r="F173" s="935">
        <f>F46</f>
        <v>0</v>
      </c>
    </row>
    <row r="174" spans="1:7">
      <c r="A174" s="615"/>
      <c r="B174" s="965" t="str">
        <f>B48</f>
        <v>ELEMENT NO. 3 SUPERSTRUCTURE WALLING</v>
      </c>
      <c r="C174" s="933"/>
      <c r="D174" s="615"/>
      <c r="E174" s="934"/>
      <c r="F174" s="935">
        <f>F56</f>
        <v>0</v>
      </c>
    </row>
    <row r="175" spans="1:7">
      <c r="A175" s="615"/>
      <c r="B175" s="965" t="str">
        <f>B58</f>
        <v>ELEMENT NO. 4: ROOF</v>
      </c>
      <c r="C175" s="933"/>
      <c r="D175" s="615"/>
      <c r="E175" s="934"/>
      <c r="F175" s="935">
        <f>F86</f>
        <v>0</v>
      </c>
    </row>
    <row r="176" spans="1:7">
      <c r="A176" s="615"/>
      <c r="B176" s="965" t="str">
        <f>B88</f>
        <v>ELEMENT NO. 5 - DOORS</v>
      </c>
      <c r="C176" s="933"/>
      <c r="D176" s="615"/>
      <c r="E176" s="934"/>
      <c r="F176" s="935">
        <f>F101</f>
        <v>0</v>
      </c>
    </row>
    <row r="177" spans="1:8">
      <c r="A177" s="615"/>
      <c r="B177" s="965" t="str">
        <f>B102</f>
        <v>ELEMENT NO. 6 - WINDOWS</v>
      </c>
      <c r="C177" s="933"/>
      <c r="D177" s="615"/>
      <c r="E177" s="934"/>
      <c r="F177" s="935">
        <f>F104</f>
        <v>0</v>
      </c>
    </row>
    <row r="178" spans="1:8">
      <c r="A178" s="615"/>
      <c r="B178" s="965" t="str">
        <f>B106</f>
        <v>ELEMENT NO 7: FINISHES</v>
      </c>
      <c r="C178" s="933"/>
      <c r="D178" s="615"/>
      <c r="E178" s="934"/>
      <c r="F178" s="935">
        <f>F124</f>
        <v>0</v>
      </c>
    </row>
    <row r="179" spans="1:8">
      <c r="A179" s="615"/>
      <c r="B179" s="936" t="str">
        <f>B126</f>
        <v>ELEMENT NO. 8: ELECTRICAL INSTALLATIONS AND SERVICES</v>
      </c>
      <c r="C179" s="933"/>
      <c r="D179" s="615"/>
      <c r="E179" s="934"/>
      <c r="F179" s="935">
        <f>F143</f>
        <v>0</v>
      </c>
    </row>
    <row r="180" spans="1:8" ht="29">
      <c r="A180" s="615"/>
      <c r="B180" s="965" t="str">
        <f>B145</f>
        <v>ELEMENT NO. 9: FIXTURES - CLOTHES SHELVES CABINETS AND DRAWERS</v>
      </c>
      <c r="C180" s="933"/>
      <c r="D180" s="615"/>
      <c r="E180" s="934"/>
      <c r="F180" s="935">
        <f>F162</f>
        <v>0</v>
      </c>
    </row>
    <row r="181" spans="1:8">
      <c r="A181" s="615"/>
      <c r="B181" s="965"/>
      <c r="C181" s="933"/>
      <c r="D181" s="615"/>
      <c r="E181" s="934"/>
      <c r="F181" s="935"/>
    </row>
    <row r="182" spans="1:8">
      <c r="A182" s="615"/>
      <c r="B182" s="965"/>
      <c r="C182" s="933"/>
      <c r="D182" s="615"/>
      <c r="E182" s="934"/>
      <c r="F182" s="935"/>
    </row>
    <row r="183" spans="1:8">
      <c r="A183" s="615"/>
      <c r="B183" s="965"/>
      <c r="C183" s="933"/>
      <c r="D183" s="615"/>
      <c r="E183" s="934"/>
      <c r="F183" s="935"/>
    </row>
    <row r="184" spans="1:8">
      <c r="A184" s="615"/>
      <c r="B184" s="965"/>
      <c r="C184" s="933"/>
      <c r="D184" s="615"/>
      <c r="E184" s="934"/>
      <c r="F184" s="935"/>
    </row>
    <row r="185" spans="1:8">
      <c r="A185" s="615"/>
      <c r="B185" s="965"/>
      <c r="C185" s="933"/>
      <c r="D185" s="615"/>
      <c r="E185" s="934"/>
      <c r="F185" s="935"/>
    </row>
    <row r="186" spans="1:8">
      <c r="A186" s="615"/>
      <c r="B186" s="936"/>
      <c r="C186" s="933"/>
      <c r="D186" s="615"/>
      <c r="E186" s="934"/>
      <c r="F186" s="935"/>
    </row>
    <row r="187" spans="1:8">
      <c r="A187" s="615"/>
      <c r="B187" s="965"/>
      <c r="C187" s="933"/>
      <c r="D187" s="615"/>
      <c r="E187" s="934"/>
      <c r="F187" s="935"/>
    </row>
    <row r="188" spans="1:8">
      <c r="A188" s="615"/>
      <c r="B188" s="965"/>
      <c r="C188" s="933"/>
      <c r="D188" s="615"/>
      <c r="E188" s="934"/>
      <c r="F188" s="935"/>
    </row>
    <row r="189" spans="1:8">
      <c r="A189" s="615"/>
      <c r="B189" s="964" t="s">
        <v>1598</v>
      </c>
      <c r="C189" s="933"/>
      <c r="D189" s="615"/>
      <c r="E189" s="934"/>
      <c r="F189" s="930">
        <f>SUM(F172:F188)</f>
        <v>0</v>
      </c>
      <c r="H189" s="939"/>
    </row>
    <row r="190" spans="1:8">
      <c r="A190" s="615"/>
      <c r="B190" s="964"/>
      <c r="C190" s="933"/>
      <c r="D190" s="615"/>
      <c r="E190" s="934"/>
      <c r="F190" s="930"/>
    </row>
    <row r="191" spans="1:8" ht="29">
      <c r="A191" s="634"/>
      <c r="B191" s="964" t="s">
        <v>1599</v>
      </c>
      <c r="C191" s="932"/>
      <c r="D191" s="634"/>
      <c r="E191" s="937"/>
      <c r="F191" s="930">
        <f>F189*2</f>
        <v>0</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view="pageBreakPreview" zoomScale="130" zoomScaleNormal="100" zoomScaleSheetLayoutView="130" workbookViewId="0">
      <pane xSplit="4" ySplit="1" topLeftCell="E2" activePane="bottomRight" state="frozen"/>
      <selection pane="topRight" activeCell="E1" sqref="E1"/>
      <selection pane="bottomLeft" activeCell="A2" sqref="A2"/>
      <selection pane="bottomRight" activeCell="G1" sqref="G1:K1048576"/>
    </sheetView>
  </sheetViews>
  <sheetFormatPr defaultColWidth="8.90625" defaultRowHeight="14.5"/>
  <cols>
    <col min="1" max="1" width="6.6328125" style="222" bestFit="1" customWidth="1"/>
    <col min="2" max="2" width="51" style="101" customWidth="1"/>
    <col min="3" max="3" width="5.36328125" style="101" customWidth="1"/>
    <col min="4" max="4" width="6.36328125" style="101" customWidth="1"/>
    <col min="5" max="5" width="7.90625" style="101" customWidth="1"/>
    <col min="6" max="6" width="10.453125" style="101" bestFit="1" customWidth="1"/>
    <col min="7" max="16384" width="8.90625" style="101"/>
  </cols>
  <sheetData>
    <row r="1" spans="1:6">
      <c r="A1" s="202" t="s">
        <v>0</v>
      </c>
      <c r="B1" s="203" t="s">
        <v>1</v>
      </c>
      <c r="C1" s="204" t="s">
        <v>2</v>
      </c>
      <c r="D1" s="205" t="s">
        <v>426</v>
      </c>
      <c r="E1" s="206" t="s">
        <v>368</v>
      </c>
      <c r="F1" s="207" t="s">
        <v>472</v>
      </c>
    </row>
    <row r="2" spans="1:6">
      <c r="A2" s="248"/>
      <c r="B2" s="208" t="s">
        <v>859</v>
      </c>
      <c r="C2" s="209"/>
      <c r="D2" s="210"/>
      <c r="E2" s="211"/>
      <c r="F2" s="315"/>
    </row>
    <row r="3" spans="1:6">
      <c r="A3" s="248"/>
      <c r="B3" s="212" t="s">
        <v>861</v>
      </c>
      <c r="C3" s="209"/>
      <c r="D3" s="210"/>
      <c r="E3" s="211"/>
      <c r="F3" s="315"/>
    </row>
    <row r="4" spans="1:6">
      <c r="A4" s="480"/>
      <c r="B4" s="481"/>
      <c r="C4" s="482"/>
      <c r="D4" s="483"/>
      <c r="E4" s="484"/>
      <c r="F4" s="213"/>
    </row>
    <row r="5" spans="1:6">
      <c r="A5" s="485">
        <v>19.100000000000001</v>
      </c>
      <c r="B5" s="486" t="s">
        <v>640</v>
      </c>
      <c r="C5" s="494"/>
      <c r="D5" s="494"/>
      <c r="E5" s="494"/>
      <c r="F5" s="1202"/>
    </row>
    <row r="6" spans="1:6">
      <c r="A6" s="485"/>
      <c r="B6" s="486" t="s">
        <v>862</v>
      </c>
      <c r="C6" s="494"/>
      <c r="D6" s="494"/>
      <c r="E6" s="494"/>
      <c r="F6" s="1202"/>
    </row>
    <row r="7" spans="1:6" ht="29">
      <c r="A7" s="492" t="s">
        <v>1556</v>
      </c>
      <c r="B7" s="493" t="s">
        <v>863</v>
      </c>
      <c r="C7" s="494" t="s">
        <v>588</v>
      </c>
      <c r="D7" s="494">
        <v>9</v>
      </c>
      <c r="E7" s="494"/>
      <c r="F7" s="1202">
        <f t="shared" ref="F7:F52" si="0">D7*E7</f>
        <v>0</v>
      </c>
    </row>
    <row r="8" spans="1:6" ht="29">
      <c r="A8" s="492" t="s">
        <v>1568</v>
      </c>
      <c r="B8" s="493" t="s">
        <v>865</v>
      </c>
      <c r="C8" s="494" t="s">
        <v>842</v>
      </c>
      <c r="D8" s="494">
        <v>14</v>
      </c>
      <c r="E8" s="494"/>
      <c r="F8" s="1202">
        <f t="shared" si="0"/>
        <v>0</v>
      </c>
    </row>
    <row r="9" spans="1:6">
      <c r="A9" s="485"/>
      <c r="B9" s="486" t="s">
        <v>866</v>
      </c>
      <c r="C9" s="494"/>
      <c r="D9" s="494"/>
      <c r="E9" s="494"/>
      <c r="F9" s="1202"/>
    </row>
    <row r="10" spans="1:6" ht="29">
      <c r="A10" s="492" t="s">
        <v>1899</v>
      </c>
      <c r="B10" s="493" t="s">
        <v>867</v>
      </c>
      <c r="C10" s="494" t="s">
        <v>842</v>
      </c>
      <c r="D10" s="494">
        <v>7</v>
      </c>
      <c r="E10" s="494"/>
      <c r="F10" s="1202">
        <f t="shared" si="0"/>
        <v>0</v>
      </c>
    </row>
    <row r="11" spans="1:6" ht="16.5">
      <c r="A11" s="492" t="s">
        <v>1900</v>
      </c>
      <c r="B11" s="493" t="s">
        <v>868</v>
      </c>
      <c r="C11" s="494" t="s">
        <v>842</v>
      </c>
      <c r="D11" s="494">
        <v>7</v>
      </c>
      <c r="E11" s="494"/>
      <c r="F11" s="1202">
        <f t="shared" si="0"/>
        <v>0</v>
      </c>
    </row>
    <row r="12" spans="1:6">
      <c r="A12" s="485"/>
      <c r="B12" s="486" t="s">
        <v>869</v>
      </c>
      <c r="C12" s="494"/>
      <c r="D12" s="494"/>
      <c r="E12" s="494"/>
      <c r="F12" s="1202"/>
    </row>
    <row r="13" spans="1:6" ht="29">
      <c r="A13" s="492" t="s">
        <v>1901</v>
      </c>
      <c r="B13" s="493" t="s">
        <v>870</v>
      </c>
      <c r="C13" s="494" t="s">
        <v>588</v>
      </c>
      <c r="D13" s="494">
        <v>9</v>
      </c>
      <c r="E13" s="494"/>
      <c r="F13" s="1202">
        <f t="shared" si="0"/>
        <v>0</v>
      </c>
    </row>
    <row r="14" spans="1:6">
      <c r="A14" s="1204"/>
      <c r="B14" s="481" t="s">
        <v>35</v>
      </c>
      <c r="C14" s="494"/>
      <c r="D14" s="494"/>
      <c r="E14" s="494"/>
      <c r="F14" s="1202"/>
    </row>
    <row r="15" spans="1:6" ht="43.5">
      <c r="A15" s="480" t="s">
        <v>1902</v>
      </c>
      <c r="B15" s="487" t="s">
        <v>593</v>
      </c>
      <c r="C15" s="483" t="s">
        <v>588</v>
      </c>
      <c r="D15" s="483">
        <v>9</v>
      </c>
      <c r="E15" s="484"/>
      <c r="F15" s="1202">
        <f t="shared" si="0"/>
        <v>0</v>
      </c>
    </row>
    <row r="16" spans="1:6">
      <c r="A16" s="485"/>
      <c r="B16" s="486" t="s">
        <v>871</v>
      </c>
      <c r="C16" s="494"/>
      <c r="D16" s="494"/>
      <c r="E16" s="494"/>
      <c r="F16" s="1202"/>
    </row>
    <row r="17" spans="1:6" ht="29">
      <c r="A17" s="492" t="s">
        <v>1903</v>
      </c>
      <c r="B17" s="493" t="s">
        <v>1557</v>
      </c>
      <c r="C17" s="494" t="s">
        <v>588</v>
      </c>
      <c r="D17" s="494">
        <v>9</v>
      </c>
      <c r="E17" s="494"/>
      <c r="F17" s="1202">
        <f t="shared" si="0"/>
        <v>0</v>
      </c>
    </row>
    <row r="18" spans="1:6" ht="16.5">
      <c r="A18" s="492" t="s">
        <v>1904</v>
      </c>
      <c r="B18" s="493" t="s">
        <v>872</v>
      </c>
      <c r="C18" s="494" t="s">
        <v>588</v>
      </c>
      <c r="D18" s="494">
        <v>8</v>
      </c>
      <c r="E18" s="494"/>
      <c r="F18" s="1202">
        <f t="shared" si="0"/>
        <v>0</v>
      </c>
    </row>
    <row r="19" spans="1:6">
      <c r="A19" s="485"/>
      <c r="B19" s="486" t="s">
        <v>873</v>
      </c>
      <c r="C19" s="494"/>
      <c r="D19" s="494"/>
      <c r="E19" s="494"/>
      <c r="F19" s="1202"/>
    </row>
    <row r="20" spans="1:6" ht="16.5">
      <c r="A20" s="492" t="s">
        <v>1905</v>
      </c>
      <c r="B20" s="493" t="s">
        <v>874</v>
      </c>
      <c r="C20" s="494" t="s">
        <v>842</v>
      </c>
      <c r="D20" s="494">
        <v>2</v>
      </c>
      <c r="E20" s="494"/>
      <c r="F20" s="1202">
        <f t="shared" si="0"/>
        <v>0</v>
      </c>
    </row>
    <row r="21" spans="1:6" ht="16.5">
      <c r="A21" s="492" t="s">
        <v>1906</v>
      </c>
      <c r="B21" s="493" t="s">
        <v>875</v>
      </c>
      <c r="C21" s="494" t="s">
        <v>842</v>
      </c>
      <c r="D21" s="494">
        <v>1</v>
      </c>
      <c r="E21" s="494"/>
      <c r="F21" s="1202">
        <f t="shared" si="0"/>
        <v>0</v>
      </c>
    </row>
    <row r="22" spans="1:6" ht="16.5">
      <c r="A22" s="492" t="s">
        <v>1907</v>
      </c>
      <c r="B22" s="493" t="s">
        <v>876</v>
      </c>
      <c r="C22" s="494" t="s">
        <v>588</v>
      </c>
      <c r="D22" s="494">
        <v>9</v>
      </c>
      <c r="E22" s="494"/>
      <c r="F22" s="1202">
        <f t="shared" si="0"/>
        <v>0</v>
      </c>
    </row>
    <row r="23" spans="1:6">
      <c r="A23" s="488"/>
      <c r="B23" s="486" t="s">
        <v>877</v>
      </c>
      <c r="C23" s="494"/>
      <c r="D23" s="494"/>
      <c r="E23" s="494"/>
      <c r="F23" s="1202"/>
    </row>
    <row r="24" spans="1:6" ht="29">
      <c r="A24" s="492"/>
      <c r="B24" s="489" t="s">
        <v>1908</v>
      </c>
      <c r="C24" s="494"/>
      <c r="D24" s="494"/>
      <c r="E24" s="494"/>
      <c r="F24" s="1202"/>
    </row>
    <row r="25" spans="1:6">
      <c r="A25" s="492" t="s">
        <v>1909</v>
      </c>
      <c r="B25" s="493" t="s">
        <v>878</v>
      </c>
      <c r="C25" s="494" t="s">
        <v>879</v>
      </c>
      <c r="D25" s="494">
        <v>48</v>
      </c>
      <c r="E25" s="494"/>
      <c r="F25" s="1202">
        <f t="shared" si="0"/>
        <v>0</v>
      </c>
    </row>
    <row r="26" spans="1:6">
      <c r="A26" s="492" t="s">
        <v>1910</v>
      </c>
      <c r="B26" s="493" t="s">
        <v>880</v>
      </c>
      <c r="C26" s="494" t="s">
        <v>879</v>
      </c>
      <c r="D26" s="494">
        <v>114</v>
      </c>
      <c r="E26" s="494"/>
      <c r="F26" s="1202">
        <f t="shared" si="0"/>
        <v>0</v>
      </c>
    </row>
    <row r="27" spans="1:6">
      <c r="A27" s="485"/>
      <c r="B27" s="486" t="s">
        <v>881</v>
      </c>
      <c r="C27" s="494"/>
      <c r="D27" s="494"/>
      <c r="E27" s="494"/>
      <c r="F27" s="1202"/>
    </row>
    <row r="28" spans="1:6" ht="16.5">
      <c r="A28" s="492" t="s">
        <v>1911</v>
      </c>
      <c r="B28" s="493" t="s">
        <v>882</v>
      </c>
      <c r="C28" s="494" t="s">
        <v>588</v>
      </c>
      <c r="D28" s="494">
        <v>5</v>
      </c>
      <c r="E28" s="494"/>
      <c r="F28" s="1202">
        <f t="shared" si="0"/>
        <v>0</v>
      </c>
    </row>
    <row r="29" spans="1:6" ht="29">
      <c r="A29" s="492" t="s">
        <v>1912</v>
      </c>
      <c r="B29" s="493" t="s">
        <v>883</v>
      </c>
      <c r="C29" s="494" t="s">
        <v>481</v>
      </c>
      <c r="D29" s="494">
        <v>22</v>
      </c>
      <c r="E29" s="494"/>
      <c r="F29" s="1202">
        <f t="shared" si="0"/>
        <v>0</v>
      </c>
    </row>
    <row r="30" spans="1:6">
      <c r="A30" s="485"/>
      <c r="B30" s="486" t="s">
        <v>884</v>
      </c>
      <c r="C30" s="494"/>
      <c r="D30" s="494"/>
      <c r="E30" s="494"/>
      <c r="F30" s="1202"/>
    </row>
    <row r="31" spans="1:6" ht="130.5">
      <c r="A31" s="492"/>
      <c r="B31" s="489" t="s">
        <v>885</v>
      </c>
      <c r="C31" s="494"/>
      <c r="D31" s="494"/>
      <c r="E31" s="494"/>
      <c r="F31" s="1202"/>
    </row>
    <row r="32" spans="1:6" ht="16.5">
      <c r="A32" s="492" t="s">
        <v>1913</v>
      </c>
      <c r="B32" s="493" t="s">
        <v>886</v>
      </c>
      <c r="C32" s="494" t="s">
        <v>588</v>
      </c>
      <c r="D32" s="494">
        <v>15</v>
      </c>
      <c r="E32" s="494"/>
      <c r="F32" s="1202">
        <f t="shared" si="0"/>
        <v>0</v>
      </c>
    </row>
    <row r="33" spans="1:6" s="102" customFormat="1">
      <c r="A33" s="1205"/>
      <c r="B33" s="829" t="s">
        <v>1898</v>
      </c>
      <c r="C33" s="1206"/>
      <c r="D33" s="1206"/>
      <c r="E33" s="1206"/>
      <c r="F33" s="214"/>
    </row>
    <row r="34" spans="1:6" s="102" customFormat="1">
      <c r="A34" s="1205"/>
      <c r="B34" s="829"/>
      <c r="C34" s="1206"/>
      <c r="D34" s="1206"/>
      <c r="E34" s="1206"/>
      <c r="F34" s="214"/>
    </row>
    <row r="35" spans="1:6">
      <c r="A35" s="485">
        <v>19.2</v>
      </c>
      <c r="B35" s="486" t="s">
        <v>641</v>
      </c>
      <c r="C35" s="494"/>
      <c r="D35" s="494"/>
      <c r="E35" s="494"/>
      <c r="F35" s="1202"/>
    </row>
    <row r="36" spans="1:6">
      <c r="A36" s="488"/>
      <c r="B36" s="486" t="s">
        <v>887</v>
      </c>
      <c r="C36" s="494"/>
      <c r="D36" s="494"/>
      <c r="E36" s="494"/>
      <c r="F36" s="1202"/>
    </row>
    <row r="37" spans="1:6" ht="29">
      <c r="A37" s="492"/>
      <c r="B37" s="489" t="s">
        <v>888</v>
      </c>
      <c r="C37" s="494"/>
      <c r="D37" s="494"/>
      <c r="E37" s="494"/>
      <c r="F37" s="1202"/>
    </row>
    <row r="38" spans="1:6" ht="43.5">
      <c r="A38" s="492"/>
      <c r="B38" s="489" t="s">
        <v>1885</v>
      </c>
      <c r="C38" s="494"/>
      <c r="D38" s="494"/>
      <c r="E38" s="494"/>
      <c r="F38" s="1202"/>
    </row>
    <row r="39" spans="1:6" ht="16.5">
      <c r="A39" s="492" t="s">
        <v>1569</v>
      </c>
      <c r="B39" s="493" t="s">
        <v>889</v>
      </c>
      <c r="C39" s="494" t="s">
        <v>588</v>
      </c>
      <c r="D39" s="494">
        <v>38</v>
      </c>
      <c r="E39" s="494"/>
      <c r="F39" s="1202">
        <f t="shared" si="0"/>
        <v>0</v>
      </c>
    </row>
    <row r="40" spans="1:6">
      <c r="A40" s="485"/>
      <c r="B40" s="486" t="s">
        <v>890</v>
      </c>
      <c r="C40" s="494"/>
      <c r="D40" s="494"/>
      <c r="E40" s="494"/>
      <c r="F40" s="1202"/>
    </row>
    <row r="41" spans="1:6" ht="29">
      <c r="A41" s="1207"/>
      <c r="B41" s="489" t="s">
        <v>1886</v>
      </c>
      <c r="C41" s="494"/>
      <c r="D41" s="494"/>
      <c r="E41" s="494"/>
      <c r="F41" s="1202"/>
    </row>
    <row r="42" spans="1:6" ht="29">
      <c r="A42" s="492" t="s">
        <v>1914</v>
      </c>
      <c r="B42" s="493" t="s">
        <v>891</v>
      </c>
      <c r="C42" s="494" t="s">
        <v>842</v>
      </c>
      <c r="D42" s="494">
        <v>2</v>
      </c>
      <c r="E42" s="494"/>
      <c r="F42" s="1202">
        <f t="shared" si="0"/>
        <v>0</v>
      </c>
    </row>
    <row r="43" spans="1:6" ht="29">
      <c r="A43" s="485"/>
      <c r="B43" s="490" t="s">
        <v>892</v>
      </c>
      <c r="C43" s="491"/>
      <c r="D43" s="491"/>
      <c r="E43" s="491"/>
      <c r="F43" s="1202"/>
    </row>
    <row r="44" spans="1:6">
      <c r="A44" s="492" t="s">
        <v>1915</v>
      </c>
      <c r="B44" s="493" t="s">
        <v>878</v>
      </c>
      <c r="C44" s="494" t="s">
        <v>879</v>
      </c>
      <c r="D44" s="494">
        <v>20</v>
      </c>
      <c r="E44" s="494"/>
      <c r="F44" s="1202">
        <f t="shared" si="0"/>
        <v>0</v>
      </c>
    </row>
    <row r="45" spans="1:6">
      <c r="A45" s="492" t="s">
        <v>1916</v>
      </c>
      <c r="B45" s="493" t="s">
        <v>880</v>
      </c>
      <c r="C45" s="494" t="s">
        <v>879</v>
      </c>
      <c r="D45" s="494">
        <v>45</v>
      </c>
      <c r="E45" s="494"/>
      <c r="F45" s="1202">
        <f t="shared" si="0"/>
        <v>0</v>
      </c>
    </row>
    <row r="46" spans="1:6" s="102" customFormat="1">
      <c r="A46" s="1205"/>
      <c r="B46" s="829" t="s">
        <v>1917</v>
      </c>
      <c r="C46" s="1206"/>
      <c r="D46" s="1206"/>
      <c r="E46" s="1206"/>
      <c r="F46" s="214"/>
    </row>
    <row r="47" spans="1:6">
      <c r="A47" s="485">
        <v>19.399999999999999</v>
      </c>
      <c r="B47" s="486" t="s">
        <v>1918</v>
      </c>
      <c r="C47" s="494"/>
      <c r="D47" s="494"/>
      <c r="E47" s="494"/>
      <c r="F47" s="1202"/>
    </row>
    <row r="48" spans="1:6">
      <c r="A48" s="1203"/>
      <c r="B48" s="486" t="s">
        <v>893</v>
      </c>
      <c r="C48" s="494"/>
      <c r="D48" s="494"/>
      <c r="E48" s="494"/>
      <c r="F48" s="1202"/>
    </row>
    <row r="49" spans="1:6" ht="174">
      <c r="A49" s="1207"/>
      <c r="B49" s="489" t="s">
        <v>894</v>
      </c>
      <c r="C49" s="494"/>
      <c r="D49" s="494"/>
      <c r="E49" s="494"/>
      <c r="F49" s="1202"/>
    </row>
    <row r="50" spans="1:6" ht="16.5">
      <c r="A50" s="492" t="s">
        <v>1559</v>
      </c>
      <c r="B50" s="493" t="s">
        <v>895</v>
      </c>
      <c r="C50" s="494" t="s">
        <v>588</v>
      </c>
      <c r="D50" s="494">
        <v>9</v>
      </c>
      <c r="E50" s="494"/>
      <c r="F50" s="1202">
        <f t="shared" si="0"/>
        <v>0</v>
      </c>
    </row>
    <row r="51" spans="1:6" ht="43.5">
      <c r="A51" s="492" t="s">
        <v>1887</v>
      </c>
      <c r="B51" s="493" t="s">
        <v>896</v>
      </c>
      <c r="C51" s="494" t="s">
        <v>588</v>
      </c>
      <c r="D51" s="494">
        <v>9</v>
      </c>
      <c r="E51" s="494"/>
      <c r="F51" s="1202">
        <f t="shared" si="0"/>
        <v>0</v>
      </c>
    </row>
    <row r="52" spans="1:6">
      <c r="A52" s="492" t="s">
        <v>1888</v>
      </c>
      <c r="B52" s="493" t="s">
        <v>897</v>
      </c>
      <c r="C52" s="494" t="s">
        <v>445</v>
      </c>
      <c r="D52" s="494">
        <v>16</v>
      </c>
      <c r="E52" s="494"/>
      <c r="F52" s="1202">
        <f t="shared" si="0"/>
        <v>0</v>
      </c>
    </row>
    <row r="53" spans="1:6" ht="29">
      <c r="A53" s="492" t="s">
        <v>1889</v>
      </c>
      <c r="B53" s="493" t="s">
        <v>898</v>
      </c>
      <c r="C53" s="494" t="s">
        <v>588</v>
      </c>
      <c r="D53" s="494">
        <v>4</v>
      </c>
      <c r="E53" s="494"/>
      <c r="F53" s="1202">
        <f t="shared" ref="F53:F98" si="1">D53*E53</f>
        <v>0</v>
      </c>
    </row>
    <row r="54" spans="1:6">
      <c r="A54" s="492"/>
      <c r="B54" s="493"/>
      <c r="C54" s="494"/>
      <c r="D54" s="494"/>
      <c r="E54" s="494"/>
      <c r="F54" s="1202"/>
    </row>
    <row r="55" spans="1:6">
      <c r="A55" s="1205">
        <v>19.5</v>
      </c>
      <c r="B55" s="486" t="s">
        <v>1919</v>
      </c>
      <c r="C55" s="494"/>
      <c r="D55" s="494"/>
      <c r="E55" s="494"/>
      <c r="F55" s="1202">
        <f t="shared" si="1"/>
        <v>0</v>
      </c>
    </row>
    <row r="56" spans="1:6">
      <c r="A56" s="485"/>
      <c r="B56" s="486" t="s">
        <v>899</v>
      </c>
      <c r="C56" s="494"/>
      <c r="D56" s="494"/>
      <c r="E56" s="494"/>
      <c r="F56" s="1202">
        <f t="shared" si="1"/>
        <v>0</v>
      </c>
    </row>
    <row r="57" spans="1:6" ht="29">
      <c r="A57" s="492"/>
      <c r="B57" s="489" t="s">
        <v>1920</v>
      </c>
      <c r="C57" s="494"/>
      <c r="D57" s="494"/>
      <c r="E57" s="494"/>
      <c r="F57" s="1202">
        <f t="shared" si="1"/>
        <v>0</v>
      </c>
    </row>
    <row r="58" spans="1:6">
      <c r="A58" s="492" t="s">
        <v>1560</v>
      </c>
      <c r="B58" s="493" t="s">
        <v>900</v>
      </c>
      <c r="C58" s="494" t="s">
        <v>12</v>
      </c>
      <c r="D58" s="494">
        <v>2</v>
      </c>
      <c r="E58" s="494"/>
      <c r="F58" s="1202">
        <f t="shared" si="1"/>
        <v>0</v>
      </c>
    </row>
    <row r="59" spans="1:6">
      <c r="A59" s="492"/>
      <c r="B59" s="493"/>
      <c r="C59" s="494"/>
      <c r="D59" s="494"/>
      <c r="E59" s="494"/>
      <c r="F59" s="1202"/>
    </row>
    <row r="60" spans="1:6">
      <c r="A60" s="485">
        <v>19.600000000000001</v>
      </c>
      <c r="B60" s="486" t="s">
        <v>1856</v>
      </c>
      <c r="C60" s="494"/>
      <c r="D60" s="494"/>
      <c r="E60" s="494"/>
      <c r="F60" s="1202">
        <f t="shared" si="1"/>
        <v>0</v>
      </c>
    </row>
    <row r="61" spans="1:6" ht="72.5">
      <c r="A61" s="492" t="s">
        <v>1561</v>
      </c>
      <c r="B61" s="493" t="s">
        <v>901</v>
      </c>
      <c r="C61" s="494" t="s">
        <v>5</v>
      </c>
      <c r="D61" s="494">
        <v>2</v>
      </c>
      <c r="E61" s="494"/>
      <c r="F61" s="1202">
        <f t="shared" si="1"/>
        <v>0</v>
      </c>
    </row>
    <row r="62" spans="1:6">
      <c r="A62" s="492"/>
      <c r="B62" s="493"/>
      <c r="C62" s="494"/>
      <c r="D62" s="494"/>
      <c r="E62" s="494"/>
      <c r="F62" s="1202">
        <f t="shared" si="1"/>
        <v>0</v>
      </c>
    </row>
    <row r="63" spans="1:6">
      <c r="A63" s="485">
        <v>19.7</v>
      </c>
      <c r="B63" s="486" t="s">
        <v>1923</v>
      </c>
      <c r="C63" s="494"/>
      <c r="D63" s="494"/>
      <c r="E63" s="494"/>
      <c r="F63" s="1202">
        <f t="shared" si="1"/>
        <v>0</v>
      </c>
    </row>
    <row r="64" spans="1:6">
      <c r="A64" s="488"/>
      <c r="B64" s="486" t="s">
        <v>902</v>
      </c>
      <c r="C64" s="494"/>
      <c r="D64" s="494"/>
      <c r="E64" s="494"/>
      <c r="F64" s="1202">
        <f t="shared" si="1"/>
        <v>0</v>
      </c>
    </row>
    <row r="65" spans="1:6" ht="29">
      <c r="A65" s="492"/>
      <c r="B65" s="489" t="s">
        <v>903</v>
      </c>
      <c r="C65" s="494"/>
      <c r="D65" s="494"/>
      <c r="E65" s="494"/>
      <c r="F65" s="1202">
        <f t="shared" si="1"/>
        <v>0</v>
      </c>
    </row>
    <row r="66" spans="1:6">
      <c r="A66" s="492"/>
      <c r="B66" s="489" t="s">
        <v>904</v>
      </c>
      <c r="C66" s="494"/>
      <c r="D66" s="494"/>
      <c r="E66" s="494"/>
      <c r="F66" s="1202">
        <f t="shared" si="1"/>
        <v>0</v>
      </c>
    </row>
    <row r="67" spans="1:6" ht="16.5">
      <c r="A67" s="492" t="s">
        <v>1562</v>
      </c>
      <c r="B67" s="493" t="s">
        <v>905</v>
      </c>
      <c r="C67" s="494" t="s">
        <v>588</v>
      </c>
      <c r="D67" s="494">
        <v>9</v>
      </c>
      <c r="E67" s="494"/>
      <c r="F67" s="1202">
        <f t="shared" si="1"/>
        <v>0</v>
      </c>
    </row>
    <row r="68" spans="1:6">
      <c r="A68" s="485"/>
      <c r="B68" s="486" t="s">
        <v>906</v>
      </c>
      <c r="C68" s="494"/>
      <c r="D68" s="494"/>
      <c r="E68" s="494"/>
      <c r="F68" s="1202">
        <f t="shared" si="1"/>
        <v>0</v>
      </c>
    </row>
    <row r="69" spans="1:6" ht="29">
      <c r="A69" s="1207"/>
      <c r="B69" s="489" t="s">
        <v>1890</v>
      </c>
      <c r="C69" s="494"/>
      <c r="D69" s="494"/>
      <c r="E69" s="494"/>
      <c r="F69" s="1202">
        <f t="shared" si="1"/>
        <v>0</v>
      </c>
    </row>
    <row r="70" spans="1:6" ht="16.5">
      <c r="A70" s="492" t="s">
        <v>1563</v>
      </c>
      <c r="B70" s="493" t="s">
        <v>907</v>
      </c>
      <c r="C70" s="494" t="s">
        <v>588</v>
      </c>
      <c r="D70" s="494">
        <v>76</v>
      </c>
      <c r="E70" s="494"/>
      <c r="F70" s="1202">
        <f t="shared" si="1"/>
        <v>0</v>
      </c>
    </row>
    <row r="71" spans="1:6">
      <c r="A71" s="485"/>
      <c r="B71" s="486" t="s">
        <v>908</v>
      </c>
      <c r="C71" s="494"/>
      <c r="D71" s="494"/>
      <c r="E71" s="494"/>
      <c r="F71" s="1202">
        <f t="shared" si="1"/>
        <v>0</v>
      </c>
    </row>
    <row r="72" spans="1:6" ht="29">
      <c r="A72" s="1207"/>
      <c r="B72" s="489" t="s">
        <v>1891</v>
      </c>
      <c r="C72" s="494"/>
      <c r="D72" s="494"/>
      <c r="E72" s="494"/>
      <c r="F72" s="1202">
        <f t="shared" si="1"/>
        <v>0</v>
      </c>
    </row>
    <row r="73" spans="1:6" ht="29">
      <c r="A73" s="492" t="s">
        <v>1892</v>
      </c>
      <c r="B73" s="493" t="s">
        <v>909</v>
      </c>
      <c r="C73" s="494" t="s">
        <v>839</v>
      </c>
      <c r="D73" s="494">
        <v>38</v>
      </c>
      <c r="E73" s="495"/>
      <c r="F73" s="1202">
        <f t="shared" si="1"/>
        <v>0</v>
      </c>
    </row>
    <row r="74" spans="1:6" ht="29">
      <c r="A74" s="492" t="s">
        <v>1893</v>
      </c>
      <c r="B74" s="493" t="s">
        <v>910</v>
      </c>
      <c r="C74" s="494" t="s">
        <v>839</v>
      </c>
      <c r="D74" s="494">
        <v>38</v>
      </c>
      <c r="E74" s="495"/>
      <c r="F74" s="1202">
        <f t="shared" si="1"/>
        <v>0</v>
      </c>
    </row>
    <row r="75" spans="1:6" ht="43.5">
      <c r="A75" s="492" t="s">
        <v>1894</v>
      </c>
      <c r="B75" s="493" t="s">
        <v>911</v>
      </c>
      <c r="C75" s="494" t="s">
        <v>839</v>
      </c>
      <c r="D75" s="494">
        <v>5</v>
      </c>
      <c r="E75" s="495"/>
      <c r="F75" s="1202">
        <f t="shared" si="1"/>
        <v>0</v>
      </c>
    </row>
    <row r="76" spans="1:6">
      <c r="A76" s="1201"/>
      <c r="B76" s="493"/>
      <c r="C76" s="494"/>
      <c r="D76" s="494"/>
      <c r="E76" s="495"/>
      <c r="F76" s="1202"/>
    </row>
    <row r="77" spans="1:6">
      <c r="A77" s="1208"/>
      <c r="B77" s="1209" t="s">
        <v>1595</v>
      </c>
      <c r="C77" s="1210"/>
      <c r="D77" s="1211"/>
      <c r="E77" s="1210"/>
      <c r="F77" s="214"/>
    </row>
    <row r="78" spans="1:6">
      <c r="A78" s="1212"/>
      <c r="B78" s="1213" t="s">
        <v>193</v>
      </c>
      <c r="C78" s="1210"/>
      <c r="D78" s="1211"/>
      <c r="E78" s="1210"/>
      <c r="F78" s="1202"/>
    </row>
    <row r="79" spans="1:6" ht="58">
      <c r="A79" s="1212"/>
      <c r="B79" s="1214" t="s">
        <v>479</v>
      </c>
      <c r="C79" s="1215"/>
      <c r="D79" s="1211"/>
      <c r="E79" s="1210"/>
      <c r="F79" s="1202"/>
    </row>
    <row r="80" spans="1:6">
      <c r="A80" s="1212" t="s">
        <v>1564</v>
      </c>
      <c r="B80" s="1216" t="s">
        <v>619</v>
      </c>
      <c r="C80" s="1215" t="s">
        <v>5</v>
      </c>
      <c r="D80" s="1215">
        <v>4</v>
      </c>
      <c r="E80" s="1210"/>
      <c r="F80" s="1202">
        <f t="shared" si="1"/>
        <v>0</v>
      </c>
    </row>
    <row r="81" spans="1:6">
      <c r="A81" s="1212"/>
      <c r="B81" s="1217" t="s">
        <v>198</v>
      </c>
      <c r="C81" s="1215"/>
      <c r="D81" s="1215"/>
      <c r="E81" s="1210"/>
      <c r="F81" s="1202"/>
    </row>
    <row r="82" spans="1:6">
      <c r="A82" s="1212" t="s">
        <v>1565</v>
      </c>
      <c r="B82" s="1216" t="s">
        <v>269</v>
      </c>
      <c r="C82" s="1215" t="s">
        <v>12</v>
      </c>
      <c r="D82" s="1215">
        <v>4</v>
      </c>
      <c r="E82" s="1210"/>
      <c r="F82" s="1202">
        <f t="shared" si="1"/>
        <v>0</v>
      </c>
    </row>
    <row r="83" spans="1:6">
      <c r="A83" s="1220"/>
      <c r="B83" s="1236"/>
      <c r="C83" s="1222"/>
      <c r="D83" s="1222"/>
      <c r="E83" s="1224"/>
      <c r="F83" s="1202"/>
    </row>
    <row r="84" spans="1:6">
      <c r="A84" s="1220"/>
      <c r="B84" s="1236"/>
      <c r="C84" s="1222"/>
      <c r="D84" s="1222"/>
      <c r="E84" s="1224"/>
      <c r="F84" s="1202"/>
    </row>
    <row r="85" spans="1:6">
      <c r="A85" s="1220"/>
      <c r="B85" s="1236"/>
      <c r="C85" s="1222"/>
      <c r="D85" s="1222"/>
      <c r="E85" s="1224"/>
      <c r="F85" s="1202"/>
    </row>
    <row r="86" spans="1:6">
      <c r="A86" s="1220"/>
      <c r="B86" s="1236"/>
      <c r="C86" s="1222"/>
      <c r="D86" s="1222"/>
      <c r="E86" s="1224"/>
      <c r="F86" s="1202"/>
    </row>
    <row r="87" spans="1:6">
      <c r="A87" s="1212"/>
      <c r="B87" s="1209" t="s">
        <v>199</v>
      </c>
      <c r="C87" s="1210"/>
      <c r="D87" s="1211"/>
      <c r="E87" s="1210"/>
      <c r="F87" s="1202"/>
    </row>
    <row r="88" spans="1:6" ht="101.5">
      <c r="A88" s="1212"/>
      <c r="B88" s="1218" t="s">
        <v>1558</v>
      </c>
      <c r="C88" s="1215"/>
      <c r="D88" s="1211"/>
      <c r="E88" s="1210"/>
      <c r="F88" s="1202"/>
    </row>
    <row r="89" spans="1:6">
      <c r="A89" s="1212"/>
      <c r="B89" s="1219" t="s">
        <v>206</v>
      </c>
      <c r="C89" s="1215"/>
      <c r="D89" s="1211"/>
      <c r="E89" s="1210"/>
      <c r="F89" s="1202"/>
    </row>
    <row r="90" spans="1:6">
      <c r="A90" s="1212" t="s">
        <v>1895</v>
      </c>
      <c r="B90" s="1219" t="s">
        <v>207</v>
      </c>
      <c r="C90" s="1215" t="s">
        <v>12</v>
      </c>
      <c r="D90" s="1211">
        <v>5</v>
      </c>
      <c r="E90" s="1210"/>
      <c r="F90" s="1202">
        <f t="shared" si="1"/>
        <v>0</v>
      </c>
    </row>
    <row r="91" spans="1:6">
      <c r="A91" s="1212"/>
      <c r="B91" s="1217" t="s">
        <v>514</v>
      </c>
      <c r="C91" s="1210"/>
      <c r="D91" s="1211"/>
      <c r="E91" s="1210"/>
      <c r="F91" s="1202"/>
    </row>
    <row r="92" spans="1:6" ht="72.5">
      <c r="A92" s="1212"/>
      <c r="B92" s="1216" t="s">
        <v>1567</v>
      </c>
      <c r="C92" s="1215"/>
      <c r="D92" s="1211"/>
      <c r="E92" s="1210"/>
      <c r="F92" s="1202"/>
    </row>
    <row r="93" spans="1:6">
      <c r="A93" s="1212" t="s">
        <v>1896</v>
      </c>
      <c r="B93" s="1219" t="s">
        <v>516</v>
      </c>
      <c r="C93" s="1215" t="s">
        <v>4</v>
      </c>
      <c r="D93" s="1211">
        <v>60</v>
      </c>
      <c r="E93" s="1210"/>
      <c r="F93" s="1202">
        <f t="shared" si="1"/>
        <v>0</v>
      </c>
    </row>
    <row r="94" spans="1:6">
      <c r="A94" s="1220"/>
      <c r="B94" s="1221" t="s">
        <v>1922</v>
      </c>
      <c r="C94" s="1222"/>
      <c r="D94" s="1223"/>
      <c r="E94" s="1224"/>
      <c r="F94" s="1202"/>
    </row>
    <row r="95" spans="1:6">
      <c r="A95" s="1220"/>
      <c r="B95" s="1221"/>
      <c r="C95" s="1222"/>
      <c r="D95" s="1223"/>
      <c r="E95" s="1224"/>
      <c r="F95" s="1202"/>
    </row>
    <row r="96" spans="1:6">
      <c r="A96" s="1220">
        <v>19.899999999999999</v>
      </c>
      <c r="B96" s="1225" t="s">
        <v>1921</v>
      </c>
      <c r="C96" s="1222"/>
      <c r="D96" s="1223"/>
      <c r="E96" s="1224"/>
      <c r="F96" s="1202"/>
    </row>
    <row r="97" spans="1:6" ht="43.5">
      <c r="A97" s="216"/>
      <c r="B97" s="1226" t="s">
        <v>621</v>
      </c>
      <c r="C97" s="1227"/>
      <c r="D97" s="1211"/>
      <c r="E97" s="1210"/>
      <c r="F97" s="1202"/>
    </row>
    <row r="98" spans="1:6">
      <c r="A98" s="216" t="s">
        <v>1566</v>
      </c>
      <c r="B98" s="1228" t="s">
        <v>518</v>
      </c>
      <c r="C98" s="1227" t="s">
        <v>519</v>
      </c>
      <c r="D98" s="1211">
        <v>2</v>
      </c>
      <c r="E98" s="1210"/>
      <c r="F98" s="1202">
        <f t="shared" si="1"/>
        <v>0</v>
      </c>
    </row>
    <row r="99" spans="1:6" s="102" customFormat="1">
      <c r="A99" s="1237"/>
      <c r="B99" s="1238" t="s">
        <v>1897</v>
      </c>
      <c r="C99" s="1239"/>
      <c r="D99" s="1240"/>
      <c r="E99" s="1241"/>
      <c r="F99" s="214"/>
    </row>
    <row r="100" spans="1:6">
      <c r="A100" s="1229"/>
      <c r="B100" s="1230"/>
      <c r="C100" s="1231"/>
      <c r="D100" s="1223"/>
      <c r="E100" s="1224"/>
      <c r="F100" s="1202"/>
    </row>
    <row r="101" spans="1:6">
      <c r="A101" s="221"/>
      <c r="B101" s="1232" t="s">
        <v>1925</v>
      </c>
      <c r="C101" s="1233"/>
      <c r="D101" s="1234"/>
      <c r="E101" s="1235"/>
      <c r="F101" s="214">
        <f>SUM(F75:F98)</f>
        <v>0</v>
      </c>
    </row>
    <row r="102" spans="1:6">
      <c r="A102" s="216"/>
      <c r="B102" s="217"/>
      <c r="C102" s="217"/>
      <c r="D102" s="217"/>
      <c r="E102" s="217"/>
      <c r="F102" s="215"/>
    </row>
    <row r="103" spans="1:6">
      <c r="A103" s="1229"/>
      <c r="B103" s="1242" t="str">
        <f>B5</f>
        <v xml:space="preserve">ELEMENT NO 1 - SUBSTRUCTURE </v>
      </c>
      <c r="C103" s="1242"/>
      <c r="D103" s="1242"/>
      <c r="E103" s="1242"/>
      <c r="F103" s="1243"/>
    </row>
    <row r="104" spans="1:6">
      <c r="A104" s="1229"/>
      <c r="B104" s="1242"/>
      <c r="C104" s="1242"/>
      <c r="D104" s="1242"/>
      <c r="E104" s="1242"/>
      <c r="F104" s="1243"/>
    </row>
    <row r="105" spans="1:6">
      <c r="A105" s="1229"/>
      <c r="B105" s="1242" t="str">
        <f>B35</f>
        <v>ELEMENT NO. 2 - SUPERSTRUCTURE</v>
      </c>
      <c r="C105" s="1242"/>
      <c r="D105" s="1242"/>
      <c r="E105" s="1242"/>
      <c r="F105" s="1243"/>
    </row>
    <row r="106" spans="1:6">
      <c r="A106" s="1229"/>
      <c r="B106" s="1242"/>
      <c r="C106" s="1242"/>
      <c r="D106" s="1242"/>
      <c r="E106" s="1242"/>
      <c r="F106" s="1243"/>
    </row>
    <row r="107" spans="1:6">
      <c r="A107" s="1229"/>
      <c r="B107" s="1242" t="str">
        <f>B47</f>
        <v>ELEMENT NO. 4: ROOFING</v>
      </c>
      <c r="C107" s="1242"/>
      <c r="D107" s="1242"/>
      <c r="E107" s="1242"/>
      <c r="F107" s="1243"/>
    </row>
    <row r="108" spans="1:6">
      <c r="A108" s="1229"/>
      <c r="B108" s="1242"/>
      <c r="C108" s="1242"/>
      <c r="D108" s="1242"/>
      <c r="E108" s="1242"/>
      <c r="F108" s="1243"/>
    </row>
    <row r="109" spans="1:6">
      <c r="A109" s="216"/>
      <c r="B109" s="218" t="str">
        <f>B55</f>
        <v>ELEMENT NO. 5: DOORS AND IRON MONGERY</v>
      </c>
      <c r="C109" s="217"/>
      <c r="D109" s="217"/>
      <c r="E109" s="217"/>
      <c r="F109" s="219"/>
    </row>
    <row r="110" spans="1:6">
      <c r="A110" s="216"/>
      <c r="B110" s="217"/>
      <c r="C110" s="217"/>
      <c r="D110" s="217"/>
      <c r="E110" s="217"/>
      <c r="F110" s="219"/>
    </row>
    <row r="111" spans="1:6">
      <c r="A111" s="216"/>
      <c r="B111" s="217" t="str">
        <f>B60</f>
        <v>ELEMENT NO. 6: WINDOWS</v>
      </c>
      <c r="C111" s="217"/>
      <c r="D111" s="217"/>
      <c r="E111" s="217"/>
      <c r="F111" s="219"/>
    </row>
    <row r="112" spans="1:6">
      <c r="A112" s="216"/>
      <c r="B112" s="217"/>
      <c r="C112" s="217"/>
      <c r="D112" s="217"/>
      <c r="E112" s="217"/>
      <c r="F112" s="219"/>
    </row>
    <row r="113" spans="1:6">
      <c r="A113" s="216"/>
      <c r="B113" s="217" t="str">
        <f>B63</f>
        <v xml:space="preserve">ELEMENT NO. 7: INTERNAL FINISHES </v>
      </c>
      <c r="C113" s="217"/>
      <c r="D113" s="217"/>
      <c r="E113" s="217"/>
      <c r="F113" s="219"/>
    </row>
    <row r="114" spans="1:6">
      <c r="A114" s="216"/>
      <c r="B114" s="217"/>
      <c r="C114" s="217"/>
      <c r="D114" s="217"/>
      <c r="E114" s="217"/>
      <c r="F114" s="219"/>
    </row>
    <row r="115" spans="1:6">
      <c r="A115" s="216"/>
      <c r="B115" s="220" t="str">
        <f>B77</f>
        <v>ELEMENT NO. 8: ELECTRICAL INSTALLATIONS AND SERVICES</v>
      </c>
      <c r="C115" s="217"/>
      <c r="D115" s="217"/>
      <c r="E115" s="217"/>
      <c r="F115" s="219"/>
    </row>
    <row r="116" spans="1:6">
      <c r="A116" s="216"/>
      <c r="B116" s="217"/>
      <c r="C116" s="217"/>
      <c r="D116" s="217"/>
      <c r="E116" s="217"/>
      <c r="F116" s="219"/>
    </row>
    <row r="117" spans="1:6">
      <c r="A117" s="1229"/>
      <c r="B117" s="1245" t="str">
        <f>B96</f>
        <v>ELEMENT NO. 9: FANS</v>
      </c>
      <c r="C117" s="1242"/>
      <c r="D117" s="1242"/>
      <c r="E117" s="1242"/>
      <c r="F117" s="1244"/>
    </row>
    <row r="118" spans="1:6">
      <c r="A118" s="1229"/>
      <c r="B118" s="1242"/>
      <c r="C118" s="1242"/>
      <c r="D118" s="1242"/>
      <c r="E118" s="1242"/>
      <c r="F118" s="1244"/>
    </row>
    <row r="119" spans="1:6">
      <c r="A119" s="1229"/>
      <c r="B119" s="1242"/>
      <c r="C119" s="1242"/>
      <c r="D119" s="1242"/>
      <c r="E119" s="1242"/>
      <c r="F119" s="1244"/>
    </row>
    <row r="120" spans="1:6">
      <c r="A120" s="221"/>
      <c r="B120" s="218"/>
      <c r="C120" s="218"/>
      <c r="D120" s="218"/>
      <c r="E120" s="218"/>
      <c r="F120" s="214"/>
    </row>
  </sheetData>
  <pageMargins left="0.7" right="0.7" top="0.75" bottom="0.75" header="0.3" footer="0.3"/>
  <pageSetup scale="7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0"/>
  <sheetViews>
    <sheetView view="pageBreakPreview" topLeftCell="A541" zoomScale="122" zoomScaleNormal="111" zoomScaleSheetLayoutView="122" workbookViewId="0">
      <selection activeCell="G262" sqref="G262"/>
    </sheetView>
  </sheetViews>
  <sheetFormatPr defaultColWidth="9.08984375" defaultRowHeight="14.5"/>
  <cols>
    <col min="1" max="1" width="5.36328125" style="12" bestFit="1" customWidth="1"/>
    <col min="2" max="2" width="49.36328125" style="71" customWidth="1"/>
    <col min="3" max="3" width="5.453125" style="12" bestFit="1" customWidth="1"/>
    <col min="4" max="4" width="10" style="11" bestFit="1" customWidth="1"/>
    <col min="5" max="5" width="10.6328125" style="27" customWidth="1"/>
    <col min="6" max="6" width="11.453125" style="28" bestFit="1" customWidth="1"/>
    <col min="7" max="16384" width="9.08984375" style="11"/>
  </cols>
  <sheetData>
    <row r="1" spans="1:6" ht="42" customHeight="1">
      <c r="A1" s="8" t="s">
        <v>0</v>
      </c>
      <c r="B1" s="72" t="s">
        <v>1</v>
      </c>
      <c r="C1" s="8" t="s">
        <v>2</v>
      </c>
      <c r="D1" s="9" t="s">
        <v>405</v>
      </c>
      <c r="E1" s="9" t="s">
        <v>406</v>
      </c>
      <c r="F1" s="10" t="s">
        <v>366</v>
      </c>
    </row>
    <row r="2" spans="1:6">
      <c r="B2" s="73"/>
      <c r="C2" s="13"/>
      <c r="D2" s="14"/>
      <c r="E2" s="15"/>
      <c r="F2" s="16"/>
    </row>
    <row r="3" spans="1:6">
      <c r="B3" s="74" t="s">
        <v>362</v>
      </c>
      <c r="C3" s="13"/>
      <c r="D3" s="14"/>
      <c r="E3" s="15"/>
      <c r="F3" s="16"/>
    </row>
    <row r="4" spans="1:6">
      <c r="B4" s="74" t="s">
        <v>363</v>
      </c>
      <c r="C4" s="17"/>
      <c r="D4" s="14"/>
      <c r="E4" s="18"/>
      <c r="F4" s="16"/>
    </row>
    <row r="5" spans="1:6">
      <c r="B5" s="74" t="s">
        <v>364</v>
      </c>
      <c r="C5" s="17"/>
      <c r="D5" s="14"/>
      <c r="E5" s="18"/>
      <c r="F5" s="16"/>
    </row>
    <row r="6" spans="1:6">
      <c r="B6" s="75"/>
      <c r="C6" s="17"/>
      <c r="D6" s="14"/>
      <c r="E6" s="18"/>
      <c r="F6" s="16"/>
    </row>
    <row r="7" spans="1:6">
      <c r="A7" s="19"/>
      <c r="B7" s="74" t="s">
        <v>407</v>
      </c>
      <c r="C7" s="20"/>
      <c r="D7" s="14"/>
      <c r="E7" s="20"/>
      <c r="F7" s="16"/>
    </row>
    <row r="8" spans="1:6">
      <c r="A8" s="19"/>
      <c r="B8" s="76"/>
      <c r="C8" s="20"/>
      <c r="D8" s="14"/>
      <c r="E8" s="20"/>
      <c r="F8" s="16"/>
    </row>
    <row r="9" spans="1:6">
      <c r="A9" s="19"/>
      <c r="B9" s="74" t="s">
        <v>143</v>
      </c>
      <c r="C9" s="20"/>
      <c r="D9" s="14"/>
      <c r="E9" s="20"/>
      <c r="F9" s="16"/>
    </row>
    <row r="10" spans="1:6">
      <c r="A10" s="19"/>
      <c r="B10" s="74"/>
      <c r="C10" s="20"/>
      <c r="D10" s="14"/>
      <c r="E10" s="20"/>
      <c r="F10" s="16"/>
    </row>
    <row r="11" spans="1:6">
      <c r="A11" s="19"/>
      <c r="B11" s="74"/>
      <c r="C11" s="20"/>
      <c r="D11" s="14"/>
      <c r="E11" s="20"/>
      <c r="F11" s="16"/>
    </row>
    <row r="12" spans="1:6" ht="16.5">
      <c r="A12" s="21" t="s">
        <v>13</v>
      </c>
      <c r="B12" s="77" t="s">
        <v>144</v>
      </c>
      <c r="C12" s="22" t="s">
        <v>408</v>
      </c>
      <c r="D12" s="23">
        <v>1590</v>
      </c>
      <c r="E12" s="20">
        <v>3</v>
      </c>
      <c r="F12" s="16">
        <f t="shared" ref="F12:F18" si="0">D12*E12</f>
        <v>4770</v>
      </c>
    </row>
    <row r="13" spans="1:6">
      <c r="A13" s="21" t="s">
        <v>34</v>
      </c>
      <c r="B13" s="77" t="s">
        <v>145</v>
      </c>
      <c r="C13" s="20"/>
      <c r="D13" s="14"/>
      <c r="E13" s="20"/>
      <c r="F13" s="16">
        <f t="shared" si="0"/>
        <v>0</v>
      </c>
    </row>
    <row r="14" spans="1:6">
      <c r="A14" s="21"/>
      <c r="B14" s="74"/>
      <c r="C14" s="20"/>
      <c r="D14" s="14"/>
      <c r="E14" s="20"/>
      <c r="F14" s="16">
        <f t="shared" si="0"/>
        <v>0</v>
      </c>
    </row>
    <row r="15" spans="1:6" ht="29">
      <c r="A15" s="21" t="s">
        <v>3</v>
      </c>
      <c r="B15" s="77" t="s">
        <v>22</v>
      </c>
      <c r="C15" s="20"/>
      <c r="D15" s="14"/>
      <c r="E15" s="20"/>
      <c r="F15" s="16">
        <f t="shared" si="0"/>
        <v>0</v>
      </c>
    </row>
    <row r="16" spans="1:6" ht="29">
      <c r="A16" s="21"/>
      <c r="B16" s="77" t="s">
        <v>23</v>
      </c>
      <c r="C16" s="20"/>
      <c r="D16" s="14"/>
      <c r="E16" s="20"/>
      <c r="F16" s="16">
        <f t="shared" si="0"/>
        <v>0</v>
      </c>
    </row>
    <row r="17" spans="1:6">
      <c r="A17" s="21"/>
      <c r="B17" s="77" t="s">
        <v>24</v>
      </c>
      <c r="C17" s="20" t="s">
        <v>146</v>
      </c>
      <c r="D17" s="14">
        <v>1</v>
      </c>
      <c r="E17" s="20">
        <v>300</v>
      </c>
      <c r="F17" s="16">
        <f t="shared" si="0"/>
        <v>300</v>
      </c>
    </row>
    <row r="18" spans="1:6">
      <c r="A18" s="21"/>
      <c r="B18" s="77"/>
      <c r="C18" s="20"/>
      <c r="D18" s="14"/>
      <c r="E18" s="20"/>
      <c r="F18" s="16">
        <f t="shared" si="0"/>
        <v>0</v>
      </c>
    </row>
    <row r="19" spans="1:6">
      <c r="A19" s="21"/>
      <c r="B19" s="76" t="s">
        <v>147</v>
      </c>
      <c r="C19" s="24" t="s">
        <v>148</v>
      </c>
      <c r="D19" s="25"/>
      <c r="E19" s="25"/>
      <c r="F19" s="25">
        <f>SUM(F12:F18)</f>
        <v>5070</v>
      </c>
    </row>
    <row r="20" spans="1:6">
      <c r="A20" s="21"/>
      <c r="B20" s="76"/>
      <c r="C20" s="20"/>
      <c r="D20" s="14"/>
      <c r="E20" s="20"/>
      <c r="F20" s="16">
        <f t="shared" ref="F20:F54" si="1">D20*E20</f>
        <v>0</v>
      </c>
    </row>
    <row r="21" spans="1:6">
      <c r="A21" s="21"/>
      <c r="B21" s="76"/>
      <c r="C21" s="20"/>
      <c r="D21" s="14"/>
      <c r="E21" s="20"/>
      <c r="F21" s="16">
        <f t="shared" si="1"/>
        <v>0</v>
      </c>
    </row>
    <row r="22" spans="1:6">
      <c r="A22" s="21"/>
      <c r="B22" s="76"/>
      <c r="C22" s="20"/>
      <c r="D22" s="14"/>
      <c r="E22" s="20"/>
      <c r="F22" s="16">
        <f t="shared" si="1"/>
        <v>0</v>
      </c>
    </row>
    <row r="23" spans="1:6">
      <c r="A23" s="21"/>
      <c r="B23" s="76"/>
      <c r="C23" s="20"/>
      <c r="D23" s="14"/>
      <c r="E23" s="20"/>
      <c r="F23" s="16">
        <f t="shared" si="1"/>
        <v>0</v>
      </c>
    </row>
    <row r="24" spans="1:6">
      <c r="A24" s="21"/>
      <c r="B24" s="76"/>
      <c r="C24" s="20"/>
      <c r="D24" s="14"/>
      <c r="E24" s="20"/>
      <c r="F24" s="16">
        <f t="shared" si="1"/>
        <v>0</v>
      </c>
    </row>
    <row r="25" spans="1:6">
      <c r="A25" s="21"/>
      <c r="B25" s="74" t="str">
        <f>B4</f>
        <v>PROPOSED ……………………………………....</v>
      </c>
      <c r="C25" s="20"/>
      <c r="D25" s="14"/>
      <c r="E25" s="20"/>
      <c r="F25" s="16">
        <f t="shared" si="1"/>
        <v>0</v>
      </c>
    </row>
    <row r="26" spans="1:6">
      <c r="A26" s="21"/>
      <c r="B26" s="74" t="str">
        <f>B5</f>
        <v>…….………………………………….. DISTRICT</v>
      </c>
      <c r="C26" s="20"/>
      <c r="D26" s="14"/>
      <c r="E26" s="20"/>
      <c r="F26" s="16">
        <f t="shared" si="1"/>
        <v>0</v>
      </c>
    </row>
    <row r="27" spans="1:6">
      <c r="A27" s="21"/>
      <c r="B27" s="76"/>
      <c r="C27" s="20"/>
      <c r="D27" s="14"/>
      <c r="E27" s="20"/>
      <c r="F27" s="16">
        <f t="shared" si="1"/>
        <v>0</v>
      </c>
    </row>
    <row r="28" spans="1:6">
      <c r="A28" s="21"/>
      <c r="B28" s="74" t="str">
        <f>B7</f>
        <v>SECTION 2: MAIN BLOCK</v>
      </c>
      <c r="C28" s="20"/>
      <c r="D28" s="14"/>
      <c r="E28" s="20"/>
      <c r="F28" s="16">
        <f t="shared" si="1"/>
        <v>0</v>
      </c>
    </row>
    <row r="29" spans="1:6">
      <c r="A29" s="21"/>
      <c r="B29" s="76"/>
      <c r="C29" s="20"/>
      <c r="D29" s="14"/>
      <c r="E29" s="20"/>
      <c r="F29" s="16">
        <f t="shared" si="1"/>
        <v>0</v>
      </c>
    </row>
    <row r="30" spans="1:6">
      <c r="A30" s="21"/>
      <c r="B30" s="76"/>
      <c r="C30" s="20"/>
      <c r="D30" s="14"/>
      <c r="E30" s="20"/>
      <c r="F30" s="16">
        <f t="shared" si="1"/>
        <v>0</v>
      </c>
    </row>
    <row r="31" spans="1:6">
      <c r="A31" s="21"/>
      <c r="B31" s="74" t="s">
        <v>149</v>
      </c>
      <c r="C31" s="20"/>
      <c r="D31" s="14"/>
      <c r="E31" s="20"/>
      <c r="F31" s="16">
        <f t="shared" si="1"/>
        <v>0</v>
      </c>
    </row>
    <row r="32" spans="1:6">
      <c r="A32" s="21"/>
      <c r="B32" s="74"/>
      <c r="C32" s="20"/>
      <c r="D32" s="14"/>
      <c r="E32" s="20"/>
      <c r="F32" s="16">
        <f t="shared" si="1"/>
        <v>0</v>
      </c>
    </row>
    <row r="33" spans="1:6">
      <c r="A33" s="21"/>
      <c r="B33" s="74"/>
      <c r="C33" s="20"/>
      <c r="D33" s="14"/>
      <c r="E33" s="20"/>
      <c r="F33" s="16">
        <f t="shared" si="1"/>
        <v>0</v>
      </c>
    </row>
    <row r="34" spans="1:6">
      <c r="A34" s="21"/>
      <c r="B34" s="74"/>
      <c r="C34" s="20"/>
      <c r="D34" s="14"/>
      <c r="E34" s="20"/>
      <c r="F34" s="16">
        <f t="shared" si="1"/>
        <v>0</v>
      </c>
    </row>
    <row r="35" spans="1:6">
      <c r="A35" s="21"/>
      <c r="B35" s="78" t="s">
        <v>26</v>
      </c>
      <c r="C35" s="20"/>
      <c r="D35" s="14"/>
      <c r="E35" s="20"/>
      <c r="F35" s="16">
        <f t="shared" si="1"/>
        <v>0</v>
      </c>
    </row>
    <row r="36" spans="1:6">
      <c r="A36" s="21"/>
      <c r="B36" s="78" t="s">
        <v>27</v>
      </c>
      <c r="C36" s="20"/>
      <c r="D36" s="14"/>
      <c r="E36" s="20"/>
      <c r="F36" s="16">
        <f t="shared" si="1"/>
        <v>0</v>
      </c>
    </row>
    <row r="37" spans="1:6">
      <c r="A37" s="21"/>
      <c r="B37" s="78"/>
      <c r="C37" s="20"/>
      <c r="D37" s="14"/>
      <c r="E37" s="20"/>
      <c r="F37" s="16">
        <f t="shared" si="1"/>
        <v>0</v>
      </c>
    </row>
    <row r="38" spans="1:6" ht="16.5">
      <c r="A38" s="21" t="s">
        <v>13</v>
      </c>
      <c r="B38" s="77" t="s">
        <v>150</v>
      </c>
      <c r="C38" s="22" t="s">
        <v>408</v>
      </c>
      <c r="D38" s="14">
        <v>1425</v>
      </c>
      <c r="E38" s="20">
        <v>3</v>
      </c>
      <c r="F38" s="16">
        <f t="shared" si="1"/>
        <v>4275</v>
      </c>
    </row>
    <row r="39" spans="1:6">
      <c r="A39" s="21"/>
      <c r="B39" s="78"/>
      <c r="C39" s="20"/>
      <c r="D39" s="14"/>
      <c r="E39" s="20"/>
      <c r="F39" s="16">
        <f t="shared" si="1"/>
        <v>0</v>
      </c>
    </row>
    <row r="40" spans="1:6">
      <c r="A40" s="21"/>
      <c r="B40" s="79"/>
      <c r="C40" s="20"/>
      <c r="D40" s="14"/>
      <c r="E40" s="20"/>
      <c r="F40" s="16">
        <f t="shared" si="1"/>
        <v>0</v>
      </c>
    </row>
    <row r="41" spans="1:6">
      <c r="A41" s="21" t="s">
        <v>3</v>
      </c>
      <c r="B41" s="77" t="s">
        <v>234</v>
      </c>
      <c r="C41" s="20"/>
      <c r="D41" s="14"/>
      <c r="E41" s="20"/>
      <c r="F41" s="16">
        <f t="shared" si="1"/>
        <v>0</v>
      </c>
    </row>
    <row r="42" spans="1:6" ht="16.5">
      <c r="A42" s="21"/>
      <c r="B42" s="77" t="s">
        <v>151</v>
      </c>
      <c r="C42" s="22" t="s">
        <v>409</v>
      </c>
      <c r="D42" s="14">
        <f>433*0.6*1.5</f>
        <v>389.70000000000005</v>
      </c>
      <c r="E42" s="20">
        <v>10</v>
      </c>
      <c r="F42" s="16">
        <f t="shared" si="1"/>
        <v>3897.0000000000005</v>
      </c>
    </row>
    <row r="43" spans="1:6">
      <c r="A43" s="21"/>
      <c r="B43" s="77"/>
      <c r="C43" s="20"/>
      <c r="D43" s="14"/>
      <c r="E43" s="20"/>
      <c r="F43" s="16">
        <f t="shared" si="1"/>
        <v>0</v>
      </c>
    </row>
    <row r="44" spans="1:6">
      <c r="A44" s="21"/>
      <c r="B44" s="78" t="s">
        <v>224</v>
      </c>
      <c r="C44" s="20"/>
      <c r="D44" s="14"/>
      <c r="E44" s="20"/>
      <c r="F44" s="16">
        <f t="shared" si="1"/>
        <v>0</v>
      </c>
    </row>
    <row r="45" spans="1:6" ht="16.5">
      <c r="A45" s="21"/>
      <c r="B45" s="77" t="s">
        <v>223</v>
      </c>
      <c r="C45" s="22" t="s">
        <v>409</v>
      </c>
      <c r="D45" s="26">
        <f>0.8*0.8*1.5*70</f>
        <v>67.200000000000017</v>
      </c>
      <c r="E45" s="20">
        <v>10</v>
      </c>
      <c r="F45" s="16">
        <f t="shared" si="1"/>
        <v>672.00000000000023</v>
      </c>
    </row>
    <row r="46" spans="1:6">
      <c r="A46" s="21"/>
      <c r="B46" s="77"/>
      <c r="C46" s="20"/>
      <c r="D46" s="14"/>
      <c r="E46" s="20"/>
      <c r="F46" s="16">
        <f t="shared" si="1"/>
        <v>0</v>
      </c>
    </row>
    <row r="47" spans="1:6">
      <c r="A47" s="21"/>
      <c r="B47" s="78" t="s">
        <v>152</v>
      </c>
      <c r="C47" s="20"/>
      <c r="D47" s="14"/>
      <c r="E47" s="20"/>
      <c r="F47" s="16">
        <f t="shared" si="1"/>
        <v>0</v>
      </c>
    </row>
    <row r="48" spans="1:6">
      <c r="A48" s="21"/>
      <c r="B48" s="78"/>
      <c r="C48" s="20"/>
      <c r="D48" s="14"/>
      <c r="E48" s="20"/>
      <c r="F48" s="16">
        <f t="shared" si="1"/>
        <v>0</v>
      </c>
    </row>
    <row r="49" spans="1:6" ht="29">
      <c r="A49" s="21" t="s">
        <v>6</v>
      </c>
      <c r="B49" s="77" t="s">
        <v>153</v>
      </c>
      <c r="C49" s="20"/>
      <c r="D49" s="14"/>
      <c r="E49" s="20"/>
      <c r="F49" s="16">
        <f t="shared" si="1"/>
        <v>0</v>
      </c>
    </row>
    <row r="50" spans="1:6">
      <c r="A50" s="21"/>
      <c r="B50" s="77" t="s">
        <v>154</v>
      </c>
      <c r="C50" s="20" t="s">
        <v>25</v>
      </c>
      <c r="D50" s="14">
        <v>500</v>
      </c>
      <c r="E50" s="20">
        <v>1</v>
      </c>
      <c r="F50" s="16">
        <f t="shared" si="1"/>
        <v>500</v>
      </c>
    </row>
    <row r="51" spans="1:6">
      <c r="A51" s="21"/>
      <c r="B51" s="77"/>
      <c r="C51" s="20"/>
      <c r="D51" s="14"/>
      <c r="E51" s="20"/>
      <c r="F51" s="16">
        <f t="shared" si="1"/>
        <v>0</v>
      </c>
    </row>
    <row r="52" spans="1:6">
      <c r="A52" s="21"/>
      <c r="B52" s="78" t="s">
        <v>28</v>
      </c>
      <c r="C52" s="20"/>
      <c r="D52" s="14"/>
      <c r="E52" s="20"/>
      <c r="F52" s="16">
        <f t="shared" si="1"/>
        <v>0</v>
      </c>
    </row>
    <row r="53" spans="1:6">
      <c r="A53" s="21"/>
      <c r="B53" s="77"/>
      <c r="C53" s="20"/>
      <c r="D53" s="14"/>
      <c r="E53" s="20"/>
      <c r="F53" s="16">
        <f t="shared" si="1"/>
        <v>0</v>
      </c>
    </row>
    <row r="54" spans="1:6" ht="16.5">
      <c r="A54" s="21" t="s">
        <v>7</v>
      </c>
      <c r="B54" s="77" t="s">
        <v>29</v>
      </c>
      <c r="C54" s="22" t="s">
        <v>409</v>
      </c>
      <c r="D54" s="14">
        <f>0.3*(D42+D45)</f>
        <v>137.07000000000002</v>
      </c>
      <c r="E54" s="20">
        <v>7</v>
      </c>
      <c r="F54" s="16">
        <f t="shared" si="1"/>
        <v>959.49000000000012</v>
      </c>
    </row>
    <row r="55" spans="1:6">
      <c r="A55" s="21"/>
      <c r="B55" s="80"/>
    </row>
    <row r="56" spans="1:6">
      <c r="A56" s="21" t="s">
        <v>8</v>
      </c>
      <c r="B56" s="77" t="s">
        <v>155</v>
      </c>
      <c r="C56" s="20"/>
      <c r="D56" s="14"/>
      <c r="E56" s="20"/>
      <c r="F56" s="16">
        <f t="shared" ref="F56:F89" si="2">D56*E56</f>
        <v>0</v>
      </c>
    </row>
    <row r="57" spans="1:6">
      <c r="A57" s="21"/>
      <c r="B57" s="77" t="s">
        <v>156</v>
      </c>
      <c r="C57" s="20"/>
      <c r="D57" s="14"/>
      <c r="E57" s="20"/>
      <c r="F57" s="16">
        <f t="shared" si="2"/>
        <v>0</v>
      </c>
    </row>
    <row r="58" spans="1:6" ht="16.5">
      <c r="A58" s="21"/>
      <c r="B58" s="77" t="s">
        <v>157</v>
      </c>
      <c r="C58" s="22" t="s">
        <v>409</v>
      </c>
      <c r="D58" s="14">
        <f>D42+D45-D54</f>
        <v>319.83000000000004</v>
      </c>
      <c r="E58" s="29">
        <v>50</v>
      </c>
      <c r="F58" s="16">
        <f t="shared" si="2"/>
        <v>15991.500000000002</v>
      </c>
    </row>
    <row r="59" spans="1:6">
      <c r="A59" s="21"/>
      <c r="B59" s="77"/>
      <c r="C59" s="20"/>
      <c r="D59" s="14"/>
      <c r="E59" s="20"/>
      <c r="F59" s="16">
        <f t="shared" si="2"/>
        <v>0</v>
      </c>
    </row>
    <row r="60" spans="1:6">
      <c r="A60" s="21"/>
      <c r="B60" s="78" t="s">
        <v>30</v>
      </c>
      <c r="C60" s="20"/>
      <c r="D60" s="14"/>
      <c r="E60" s="20"/>
      <c r="F60" s="16">
        <f t="shared" si="2"/>
        <v>0</v>
      </c>
    </row>
    <row r="61" spans="1:6">
      <c r="A61" s="21"/>
      <c r="B61" s="79"/>
      <c r="C61" s="20"/>
      <c r="D61" s="14"/>
      <c r="E61" s="20"/>
      <c r="F61" s="16">
        <f t="shared" si="2"/>
        <v>0</v>
      </c>
    </row>
    <row r="62" spans="1:6" ht="29">
      <c r="A62" s="21" t="s">
        <v>10</v>
      </c>
      <c r="B62" s="77" t="s">
        <v>31</v>
      </c>
      <c r="C62" s="20"/>
      <c r="D62" s="14"/>
      <c r="E62" s="20"/>
      <c r="F62" s="16">
        <f t="shared" si="2"/>
        <v>0</v>
      </c>
    </row>
    <row r="63" spans="1:6" ht="16.5">
      <c r="A63" s="21"/>
      <c r="B63" s="77" t="s">
        <v>32</v>
      </c>
      <c r="C63" s="22" t="s">
        <v>408</v>
      </c>
      <c r="D63" s="14">
        <f>D38</f>
        <v>1425</v>
      </c>
      <c r="E63" s="20">
        <v>4</v>
      </c>
      <c r="F63" s="16">
        <f t="shared" si="2"/>
        <v>5700</v>
      </c>
    </row>
    <row r="64" spans="1:6">
      <c r="A64" s="21"/>
      <c r="B64" s="77"/>
      <c r="C64" s="20"/>
      <c r="D64" s="14"/>
      <c r="E64" s="20"/>
      <c r="F64" s="16">
        <f t="shared" si="2"/>
        <v>0</v>
      </c>
    </row>
    <row r="65" spans="1:6" ht="29">
      <c r="A65" s="21" t="s">
        <v>14</v>
      </c>
      <c r="B65" s="77" t="s">
        <v>158</v>
      </c>
      <c r="C65" s="22" t="s">
        <v>408</v>
      </c>
      <c r="D65" s="14">
        <f>D38</f>
        <v>1425</v>
      </c>
      <c r="E65" s="20">
        <v>3</v>
      </c>
      <c r="F65" s="16">
        <f t="shared" si="2"/>
        <v>4275</v>
      </c>
    </row>
    <row r="66" spans="1:6">
      <c r="A66" s="21"/>
      <c r="B66" s="77" t="s">
        <v>159</v>
      </c>
      <c r="C66" s="20"/>
      <c r="D66" s="14"/>
      <c r="E66" s="20"/>
      <c r="F66" s="16">
        <f t="shared" si="2"/>
        <v>0</v>
      </c>
    </row>
    <row r="67" spans="1:6">
      <c r="A67" s="21"/>
      <c r="B67" s="77"/>
      <c r="C67" s="20"/>
      <c r="D67" s="14"/>
      <c r="E67" s="20"/>
      <c r="F67" s="16">
        <f t="shared" si="2"/>
        <v>0</v>
      </c>
    </row>
    <row r="68" spans="1:6">
      <c r="A68" s="21"/>
      <c r="B68" s="78" t="s">
        <v>35</v>
      </c>
      <c r="C68" s="20"/>
      <c r="D68" s="14"/>
      <c r="E68" s="20"/>
      <c r="F68" s="16">
        <f t="shared" si="2"/>
        <v>0</v>
      </c>
    </row>
    <row r="69" spans="1:6">
      <c r="A69" s="21"/>
      <c r="B69" s="79"/>
      <c r="C69" s="20"/>
      <c r="D69" s="14"/>
      <c r="E69" s="20"/>
      <c r="F69" s="16">
        <f t="shared" si="2"/>
        <v>0</v>
      </c>
    </row>
    <row r="70" spans="1:6">
      <c r="A70" s="21" t="s">
        <v>9</v>
      </c>
      <c r="B70" s="77" t="s">
        <v>36</v>
      </c>
      <c r="C70" s="20"/>
      <c r="D70" s="14"/>
      <c r="E70" s="20"/>
      <c r="F70" s="16">
        <f t="shared" si="2"/>
        <v>0</v>
      </c>
    </row>
    <row r="71" spans="1:6">
      <c r="A71" s="21"/>
      <c r="B71" s="77" t="s">
        <v>37</v>
      </c>
      <c r="C71" s="20"/>
      <c r="D71" s="14"/>
      <c r="E71" s="20"/>
      <c r="F71" s="16">
        <f t="shared" si="2"/>
        <v>0</v>
      </c>
    </row>
    <row r="72" spans="1:6" ht="16.5">
      <c r="A72" s="21"/>
      <c r="B72" s="77" t="s">
        <v>160</v>
      </c>
      <c r="C72" s="22" t="s">
        <v>408</v>
      </c>
      <c r="D72" s="14">
        <f>D65</f>
        <v>1425</v>
      </c>
      <c r="E72" s="20">
        <v>3</v>
      </c>
      <c r="F72" s="16">
        <f t="shared" si="2"/>
        <v>4275</v>
      </c>
    </row>
    <row r="73" spans="1:6">
      <c r="A73" s="21"/>
      <c r="B73" s="77"/>
      <c r="C73" s="20"/>
      <c r="D73" s="14"/>
      <c r="E73" s="20"/>
      <c r="F73" s="16">
        <f t="shared" si="2"/>
        <v>0</v>
      </c>
    </row>
    <row r="74" spans="1:6">
      <c r="A74" s="21"/>
      <c r="B74" s="78" t="s">
        <v>38</v>
      </c>
      <c r="C74" s="20"/>
      <c r="D74" s="14"/>
      <c r="E74" s="20"/>
      <c r="F74" s="16">
        <f t="shared" si="2"/>
        <v>0</v>
      </c>
    </row>
    <row r="75" spans="1:6">
      <c r="A75" s="21"/>
      <c r="B75" s="77"/>
      <c r="C75" s="20"/>
      <c r="D75" s="14"/>
      <c r="E75" s="20"/>
      <c r="F75" s="16">
        <f t="shared" si="2"/>
        <v>0</v>
      </c>
    </row>
    <row r="76" spans="1:6">
      <c r="A76" s="21" t="s">
        <v>11</v>
      </c>
      <c r="B76" s="77" t="s">
        <v>39</v>
      </c>
      <c r="C76" s="20"/>
      <c r="D76" s="14"/>
      <c r="E76" s="20"/>
      <c r="F76" s="16">
        <f t="shared" si="2"/>
        <v>0</v>
      </c>
    </row>
    <row r="77" spans="1:6">
      <c r="A77" s="21"/>
      <c r="B77" s="77" t="s">
        <v>40</v>
      </c>
      <c r="C77" s="20"/>
      <c r="D77" s="14"/>
      <c r="E77" s="20"/>
      <c r="F77" s="16">
        <f t="shared" si="2"/>
        <v>0</v>
      </c>
    </row>
    <row r="78" spans="1:6">
      <c r="A78" s="21"/>
      <c r="B78" s="77" t="s">
        <v>41</v>
      </c>
      <c r="C78" s="20"/>
      <c r="D78" s="14"/>
      <c r="E78" s="20"/>
      <c r="F78" s="16">
        <f t="shared" si="2"/>
        <v>0</v>
      </c>
    </row>
    <row r="79" spans="1:6" ht="16.5">
      <c r="A79" s="21"/>
      <c r="B79" s="77" t="s">
        <v>42</v>
      </c>
      <c r="C79" s="22" t="s">
        <v>408</v>
      </c>
      <c r="D79" s="14">
        <f>D72</f>
        <v>1425</v>
      </c>
      <c r="E79" s="20">
        <v>2</v>
      </c>
      <c r="F79" s="16">
        <f t="shared" si="2"/>
        <v>2850</v>
      </c>
    </row>
    <row r="80" spans="1:6">
      <c r="A80" s="21"/>
      <c r="B80" s="77"/>
      <c r="C80" s="20"/>
      <c r="D80" s="14"/>
      <c r="E80" s="20"/>
      <c r="F80" s="16">
        <f t="shared" si="2"/>
        <v>0</v>
      </c>
    </row>
    <row r="81" spans="1:6">
      <c r="A81" s="21"/>
      <c r="B81" s="78" t="s">
        <v>179</v>
      </c>
      <c r="C81" s="20"/>
      <c r="D81" s="14"/>
      <c r="E81" s="20"/>
      <c r="F81" s="16">
        <f t="shared" si="2"/>
        <v>0</v>
      </c>
    </row>
    <row r="82" spans="1:6" ht="29">
      <c r="A82" s="21"/>
      <c r="B82" s="78" t="s">
        <v>180</v>
      </c>
      <c r="C82" s="20"/>
      <c r="D82" s="14"/>
      <c r="E82" s="20"/>
      <c r="F82" s="16">
        <f t="shared" si="2"/>
        <v>0</v>
      </c>
    </row>
    <row r="83" spans="1:6">
      <c r="A83" s="21"/>
      <c r="B83" s="78" t="s">
        <v>181</v>
      </c>
      <c r="C83" s="20"/>
      <c r="D83" s="14"/>
      <c r="E83" s="20"/>
      <c r="F83" s="16">
        <f t="shared" si="2"/>
        <v>0</v>
      </c>
    </row>
    <row r="84" spans="1:6">
      <c r="A84" s="21"/>
      <c r="B84" s="77"/>
      <c r="C84" s="20"/>
      <c r="D84" s="14"/>
      <c r="E84" s="20"/>
      <c r="F84" s="16">
        <f t="shared" si="2"/>
        <v>0</v>
      </c>
    </row>
    <row r="85" spans="1:6">
      <c r="A85" s="21" t="s">
        <v>15</v>
      </c>
      <c r="B85" s="77" t="s">
        <v>47</v>
      </c>
      <c r="C85" s="20"/>
      <c r="D85" s="14"/>
      <c r="E85" s="20"/>
      <c r="F85" s="16">
        <f t="shared" si="2"/>
        <v>0</v>
      </c>
    </row>
    <row r="86" spans="1:6" ht="16.5">
      <c r="A86" s="21"/>
      <c r="B86" s="77" t="s">
        <v>48</v>
      </c>
      <c r="C86" s="22" t="s">
        <v>408</v>
      </c>
      <c r="D86" s="14">
        <f>D79</f>
        <v>1425</v>
      </c>
      <c r="E86" s="20">
        <v>4</v>
      </c>
      <c r="F86" s="16">
        <f t="shared" si="2"/>
        <v>5700</v>
      </c>
    </row>
    <row r="87" spans="1:6">
      <c r="A87" s="21"/>
      <c r="B87" s="77"/>
      <c r="C87" s="22"/>
      <c r="D87" s="14"/>
      <c r="E87" s="20"/>
      <c r="F87" s="16">
        <f t="shared" si="2"/>
        <v>0</v>
      </c>
    </row>
    <row r="88" spans="1:6">
      <c r="A88" s="21"/>
      <c r="B88" s="77"/>
      <c r="C88" s="20"/>
      <c r="D88" s="14"/>
      <c r="E88" s="20"/>
      <c r="F88" s="16">
        <f t="shared" si="2"/>
        <v>0</v>
      </c>
    </row>
    <row r="89" spans="1:6">
      <c r="A89" s="21"/>
      <c r="B89" s="77"/>
      <c r="C89" s="20"/>
      <c r="D89" s="14"/>
      <c r="E89" s="20"/>
      <c r="F89" s="16">
        <f t="shared" si="2"/>
        <v>0</v>
      </c>
    </row>
    <row r="90" spans="1:6">
      <c r="A90" s="21"/>
      <c r="B90" s="76" t="s">
        <v>147</v>
      </c>
      <c r="C90" s="24" t="s">
        <v>148</v>
      </c>
      <c r="D90" s="25"/>
      <c r="E90" s="25"/>
      <c r="F90" s="25">
        <f>SUM(F38:F89)</f>
        <v>49094.990000000005</v>
      </c>
    </row>
    <row r="91" spans="1:6">
      <c r="A91" s="21"/>
      <c r="B91" s="76"/>
      <c r="C91" s="24"/>
      <c r="D91" s="14"/>
      <c r="E91" s="20"/>
      <c r="F91" s="16">
        <f t="shared" ref="F91:F122" si="3">D91*E91</f>
        <v>0</v>
      </c>
    </row>
    <row r="92" spans="1:6">
      <c r="A92" s="30"/>
      <c r="B92" s="77"/>
      <c r="C92" s="20"/>
      <c r="D92" s="14"/>
      <c r="E92" s="20"/>
      <c r="F92" s="16">
        <f t="shared" si="3"/>
        <v>0</v>
      </c>
    </row>
    <row r="93" spans="1:6">
      <c r="A93" s="21"/>
      <c r="B93" s="74"/>
      <c r="C93" s="20"/>
      <c r="D93" s="14"/>
      <c r="E93" s="20"/>
      <c r="F93" s="16">
        <f t="shared" si="3"/>
        <v>0</v>
      </c>
    </row>
    <row r="94" spans="1:6">
      <c r="A94" s="21"/>
      <c r="B94" s="74" t="str">
        <f>B7</f>
        <v>SECTION 2: MAIN BLOCK</v>
      </c>
      <c r="C94" s="20"/>
      <c r="D94" s="14"/>
      <c r="E94" s="20"/>
      <c r="F94" s="16">
        <f t="shared" si="3"/>
        <v>0</v>
      </c>
    </row>
    <row r="95" spans="1:6">
      <c r="A95" s="21"/>
      <c r="B95" s="76"/>
      <c r="C95" s="20"/>
      <c r="D95" s="14"/>
      <c r="E95" s="20"/>
      <c r="F95" s="16">
        <f t="shared" si="3"/>
        <v>0</v>
      </c>
    </row>
    <row r="96" spans="1:6">
      <c r="A96" s="21"/>
      <c r="B96" s="74" t="s">
        <v>161</v>
      </c>
      <c r="C96" s="20"/>
      <c r="D96" s="14"/>
      <c r="E96" s="20"/>
      <c r="F96" s="16">
        <f t="shared" si="3"/>
        <v>0</v>
      </c>
    </row>
    <row r="97" spans="1:6">
      <c r="A97" s="21"/>
      <c r="B97" s="74"/>
      <c r="C97" s="20"/>
      <c r="D97" s="14"/>
      <c r="E97" s="20"/>
      <c r="F97" s="16">
        <f t="shared" si="3"/>
        <v>0</v>
      </c>
    </row>
    <row r="98" spans="1:6">
      <c r="A98" s="21"/>
      <c r="B98" s="78" t="s">
        <v>43</v>
      </c>
      <c r="C98" s="20"/>
      <c r="D98" s="14"/>
      <c r="E98" s="20"/>
      <c r="F98" s="16">
        <f t="shared" si="3"/>
        <v>0</v>
      </c>
    </row>
    <row r="99" spans="1:6">
      <c r="A99" s="21"/>
      <c r="B99" s="77"/>
      <c r="C99" s="20"/>
      <c r="D99" s="14"/>
      <c r="E99" s="20"/>
      <c r="F99" s="16">
        <f t="shared" si="3"/>
        <v>0</v>
      </c>
    </row>
    <row r="100" spans="1:6" ht="16.5">
      <c r="A100" s="21" t="s">
        <v>13</v>
      </c>
      <c r="B100" s="77" t="s">
        <v>235</v>
      </c>
      <c r="C100" s="22" t="s">
        <v>408</v>
      </c>
      <c r="D100" s="14">
        <f>433*0.8</f>
        <v>346.40000000000003</v>
      </c>
      <c r="E100" s="20">
        <f>220*0.05</f>
        <v>11</v>
      </c>
      <c r="F100" s="16">
        <f t="shared" si="3"/>
        <v>3810.4000000000005</v>
      </c>
    </row>
    <row r="101" spans="1:6">
      <c r="A101" s="21"/>
      <c r="B101" s="74"/>
      <c r="C101" s="20"/>
      <c r="D101" s="14"/>
      <c r="E101" s="20"/>
      <c r="F101" s="16">
        <f t="shared" si="3"/>
        <v>0</v>
      </c>
    </row>
    <row r="102" spans="1:6" ht="29">
      <c r="A102" s="21"/>
      <c r="B102" s="78" t="s">
        <v>236</v>
      </c>
      <c r="C102" s="20"/>
      <c r="D102" s="14"/>
      <c r="E102" s="20"/>
      <c r="F102" s="16">
        <f t="shared" si="3"/>
        <v>0</v>
      </c>
    </row>
    <row r="103" spans="1:6">
      <c r="A103" s="21"/>
      <c r="B103" s="78"/>
      <c r="C103" s="20"/>
      <c r="D103" s="14"/>
      <c r="E103" s="20"/>
      <c r="F103" s="16">
        <f t="shared" si="3"/>
        <v>0</v>
      </c>
    </row>
    <row r="104" spans="1:6">
      <c r="A104" s="21"/>
      <c r="B104" s="74" t="s">
        <v>162</v>
      </c>
      <c r="C104" s="20"/>
      <c r="D104" s="14"/>
      <c r="E104" s="20"/>
      <c r="F104" s="16">
        <f t="shared" si="3"/>
        <v>0</v>
      </c>
    </row>
    <row r="105" spans="1:6">
      <c r="A105" s="21"/>
      <c r="B105" s="77"/>
      <c r="C105" s="20"/>
      <c r="D105" s="14"/>
      <c r="E105" s="20"/>
      <c r="F105" s="16">
        <f t="shared" si="3"/>
        <v>0</v>
      </c>
    </row>
    <row r="106" spans="1:6" ht="16.5">
      <c r="A106" s="21" t="s">
        <v>13</v>
      </c>
      <c r="B106" s="77" t="s">
        <v>410</v>
      </c>
      <c r="C106" s="22" t="s">
        <v>409</v>
      </c>
      <c r="D106" s="14">
        <f>433*0.8*0.3</f>
        <v>103.92</v>
      </c>
      <c r="E106" s="20">
        <v>220</v>
      </c>
      <c r="F106" s="16">
        <f t="shared" si="3"/>
        <v>22862.400000000001</v>
      </c>
    </row>
    <row r="107" spans="1:6">
      <c r="A107" s="21"/>
      <c r="B107" s="77"/>
      <c r="C107" s="20"/>
      <c r="D107" s="14"/>
      <c r="E107" s="20"/>
      <c r="F107" s="16">
        <f t="shared" si="3"/>
        <v>0</v>
      </c>
    </row>
    <row r="108" spans="1:6" ht="16.5">
      <c r="A108" s="21" t="s">
        <v>3</v>
      </c>
      <c r="B108" s="77" t="s">
        <v>163</v>
      </c>
      <c r="C108" s="22" t="s">
        <v>409</v>
      </c>
      <c r="D108" s="14">
        <f>433*0.45*0.4</f>
        <v>77.94</v>
      </c>
      <c r="E108" s="20">
        <v>220</v>
      </c>
      <c r="F108" s="16">
        <f t="shared" si="3"/>
        <v>17146.8</v>
      </c>
    </row>
    <row r="109" spans="1:6">
      <c r="A109" s="21"/>
      <c r="B109" s="77"/>
      <c r="C109" s="20"/>
      <c r="D109" s="14"/>
      <c r="E109" s="20"/>
      <c r="F109" s="16">
        <f t="shared" si="3"/>
        <v>0</v>
      </c>
    </row>
    <row r="110" spans="1:6">
      <c r="A110" s="21"/>
      <c r="B110" s="74" t="s">
        <v>164</v>
      </c>
      <c r="C110" s="20"/>
      <c r="D110" s="14"/>
      <c r="E110" s="20"/>
      <c r="F110" s="16">
        <f t="shared" si="3"/>
        <v>0</v>
      </c>
    </row>
    <row r="111" spans="1:6">
      <c r="A111" s="21"/>
      <c r="B111" s="77"/>
      <c r="C111" s="20"/>
      <c r="D111" s="14"/>
      <c r="E111" s="20"/>
      <c r="F111" s="16">
        <f t="shared" si="3"/>
        <v>0</v>
      </c>
    </row>
    <row r="112" spans="1:6" ht="16.5">
      <c r="A112" s="21" t="s">
        <v>13</v>
      </c>
      <c r="B112" s="77" t="s">
        <v>165</v>
      </c>
      <c r="C112" s="22" t="s">
        <v>409</v>
      </c>
      <c r="D112" s="23">
        <f>1*1*0.4*72</f>
        <v>28.8</v>
      </c>
      <c r="E112" s="29">
        <v>220</v>
      </c>
      <c r="F112" s="16">
        <f t="shared" si="3"/>
        <v>6336</v>
      </c>
    </row>
    <row r="113" spans="1:6">
      <c r="A113" s="21"/>
      <c r="B113" s="77"/>
      <c r="C113" s="20"/>
      <c r="D113" s="23"/>
      <c r="E113" s="20"/>
      <c r="F113" s="16">
        <f t="shared" si="3"/>
        <v>0</v>
      </c>
    </row>
    <row r="114" spans="1:6" ht="16.5">
      <c r="A114" s="21" t="s">
        <v>3</v>
      </c>
      <c r="B114" s="77" t="s">
        <v>166</v>
      </c>
      <c r="C114" s="22" t="s">
        <v>409</v>
      </c>
      <c r="D114" s="23">
        <f>0.4*0.4*1.2*72</f>
        <v>13.824000000000002</v>
      </c>
      <c r="E114" s="29">
        <v>220</v>
      </c>
      <c r="F114" s="16">
        <f t="shared" si="3"/>
        <v>3041.28</v>
      </c>
    </row>
    <row r="115" spans="1:6">
      <c r="A115" s="21"/>
      <c r="B115" s="77"/>
      <c r="C115" s="20"/>
      <c r="D115" s="23"/>
      <c r="E115" s="20"/>
      <c r="F115" s="16">
        <f t="shared" si="3"/>
        <v>0</v>
      </c>
    </row>
    <row r="116" spans="1:6" ht="16.5">
      <c r="A116" s="21" t="s">
        <v>6</v>
      </c>
      <c r="B116" s="77" t="s">
        <v>237</v>
      </c>
      <c r="C116" s="22" t="s">
        <v>409</v>
      </c>
      <c r="D116" s="23">
        <f>0.4*0.4*3*72</f>
        <v>34.560000000000009</v>
      </c>
      <c r="E116" s="29">
        <v>220</v>
      </c>
      <c r="F116" s="16">
        <f t="shared" si="3"/>
        <v>7603.2000000000016</v>
      </c>
    </row>
    <row r="117" spans="1:6">
      <c r="A117" s="21"/>
      <c r="B117" s="77"/>
      <c r="C117" s="20"/>
      <c r="D117" s="14"/>
      <c r="E117" s="20"/>
      <c r="F117" s="16">
        <f t="shared" si="3"/>
        <v>0</v>
      </c>
    </row>
    <row r="118" spans="1:6">
      <c r="A118" s="21"/>
      <c r="B118" s="74" t="s">
        <v>167</v>
      </c>
      <c r="C118" s="20"/>
      <c r="D118" s="14"/>
      <c r="E118" s="20"/>
      <c r="F118" s="16">
        <f t="shared" si="3"/>
        <v>0</v>
      </c>
    </row>
    <row r="119" spans="1:6">
      <c r="A119" s="21"/>
      <c r="B119" s="77"/>
      <c r="C119" s="20"/>
      <c r="D119" s="14"/>
      <c r="E119" s="20"/>
      <c r="F119" s="16">
        <f t="shared" si="3"/>
        <v>0</v>
      </c>
    </row>
    <row r="120" spans="1:6">
      <c r="A120" s="21" t="s">
        <v>13</v>
      </c>
      <c r="B120" s="77" t="s">
        <v>168</v>
      </c>
      <c r="C120" s="20"/>
      <c r="D120" s="14"/>
      <c r="E120" s="20"/>
      <c r="F120" s="16">
        <f t="shared" si="3"/>
        <v>0</v>
      </c>
    </row>
    <row r="121" spans="1:6" ht="16.5">
      <c r="A121" s="21"/>
      <c r="B121" s="77" t="s">
        <v>44</v>
      </c>
      <c r="C121" s="22" t="s">
        <v>409</v>
      </c>
      <c r="D121" s="23">
        <f>D72*0.15</f>
        <v>213.75</v>
      </c>
      <c r="E121" s="29">
        <v>220</v>
      </c>
      <c r="F121" s="16">
        <f t="shared" si="3"/>
        <v>47025</v>
      </c>
    </row>
    <row r="122" spans="1:6">
      <c r="A122" s="21"/>
      <c r="B122" s="77"/>
      <c r="C122" s="20"/>
      <c r="D122" s="14"/>
      <c r="E122" s="20"/>
      <c r="F122" s="16">
        <f t="shared" si="3"/>
        <v>0</v>
      </c>
    </row>
    <row r="123" spans="1:6">
      <c r="A123" s="21"/>
      <c r="B123" s="78" t="s">
        <v>225</v>
      </c>
      <c r="C123" s="20"/>
      <c r="D123" s="14"/>
      <c r="E123" s="20"/>
      <c r="F123" s="16">
        <f t="shared" ref="F123:F154" si="4">D123*E123</f>
        <v>0</v>
      </c>
    </row>
    <row r="124" spans="1:6">
      <c r="A124" s="21"/>
      <c r="B124" s="77"/>
      <c r="C124" s="20"/>
      <c r="D124" s="14"/>
      <c r="E124" s="20"/>
      <c r="F124" s="16">
        <f t="shared" si="4"/>
        <v>0</v>
      </c>
    </row>
    <row r="125" spans="1:6" ht="16.5">
      <c r="A125" s="21" t="s">
        <v>3</v>
      </c>
      <c r="B125" s="77" t="s">
        <v>226</v>
      </c>
      <c r="C125" s="22" t="s">
        <v>409</v>
      </c>
      <c r="D125" s="23">
        <f>(1038-105)*0.2</f>
        <v>186.60000000000002</v>
      </c>
      <c r="E125" s="29">
        <v>220</v>
      </c>
      <c r="F125" s="16">
        <f t="shared" si="4"/>
        <v>41052.000000000007</v>
      </c>
    </row>
    <row r="126" spans="1:6">
      <c r="A126" s="21"/>
      <c r="B126" s="77"/>
      <c r="C126" s="22"/>
      <c r="D126" s="14"/>
      <c r="E126" s="20"/>
      <c r="F126" s="16">
        <f t="shared" si="4"/>
        <v>0</v>
      </c>
    </row>
    <row r="127" spans="1:6">
      <c r="A127" s="21"/>
      <c r="B127" s="78" t="s">
        <v>45</v>
      </c>
      <c r="C127" s="20"/>
      <c r="D127" s="14"/>
      <c r="E127" s="20"/>
      <c r="F127" s="16">
        <f t="shared" si="4"/>
        <v>0</v>
      </c>
    </row>
    <row r="128" spans="1:6">
      <c r="A128" s="21"/>
      <c r="B128" s="77"/>
      <c r="C128" s="20"/>
      <c r="D128" s="14"/>
      <c r="E128" s="20"/>
      <c r="F128" s="16">
        <f t="shared" si="4"/>
        <v>0</v>
      </c>
    </row>
    <row r="129" spans="1:6">
      <c r="A129" s="21"/>
      <c r="B129" s="78" t="s">
        <v>46</v>
      </c>
      <c r="C129" s="20"/>
      <c r="D129" s="14"/>
      <c r="E129" s="20"/>
      <c r="F129" s="16">
        <f t="shared" si="4"/>
        <v>0</v>
      </c>
    </row>
    <row r="130" spans="1:6">
      <c r="A130" s="21"/>
      <c r="B130" s="78"/>
      <c r="C130" s="20"/>
      <c r="D130" s="14"/>
      <c r="E130" s="20"/>
      <c r="F130" s="16">
        <f t="shared" si="4"/>
        <v>0</v>
      </c>
    </row>
    <row r="131" spans="1:6">
      <c r="A131" s="21"/>
      <c r="B131" s="78" t="s">
        <v>162</v>
      </c>
      <c r="C131" s="20"/>
      <c r="D131" s="14"/>
      <c r="E131" s="20"/>
      <c r="F131" s="16">
        <f t="shared" si="4"/>
        <v>0</v>
      </c>
    </row>
    <row r="132" spans="1:6">
      <c r="A132" s="21"/>
      <c r="B132" s="79"/>
      <c r="C132" s="20"/>
      <c r="D132" s="14"/>
      <c r="E132" s="20"/>
      <c r="F132" s="16">
        <f t="shared" si="4"/>
        <v>0</v>
      </c>
    </row>
    <row r="133" spans="1:6">
      <c r="A133" s="21"/>
      <c r="B133" s="78" t="s">
        <v>169</v>
      </c>
      <c r="C133" s="20"/>
      <c r="D133" s="14"/>
      <c r="E133" s="20"/>
      <c r="F133" s="16">
        <f t="shared" si="4"/>
        <v>0</v>
      </c>
    </row>
    <row r="134" spans="1:6">
      <c r="A134" s="21"/>
      <c r="B134" s="79"/>
      <c r="C134" s="20"/>
      <c r="D134" s="14"/>
      <c r="E134" s="20"/>
      <c r="F134" s="16">
        <f t="shared" si="4"/>
        <v>0</v>
      </c>
    </row>
    <row r="135" spans="1:6">
      <c r="A135" s="21" t="s">
        <v>13</v>
      </c>
      <c r="B135" s="77" t="s">
        <v>170</v>
      </c>
      <c r="C135" s="20"/>
      <c r="D135" s="14"/>
      <c r="E135" s="20"/>
      <c r="F135" s="16">
        <f t="shared" si="4"/>
        <v>0</v>
      </c>
    </row>
    <row r="136" spans="1:6" ht="29">
      <c r="A136" s="21"/>
      <c r="B136" s="77" t="s">
        <v>171</v>
      </c>
      <c r="C136" s="20" t="s">
        <v>19</v>
      </c>
      <c r="D136" s="14">
        <f>433*4*0.888</f>
        <v>1538.0160000000001</v>
      </c>
      <c r="E136" s="20">
        <v>1.6</v>
      </c>
      <c r="F136" s="16">
        <f t="shared" si="4"/>
        <v>2460.8256000000001</v>
      </c>
    </row>
    <row r="137" spans="1:6">
      <c r="A137" s="21"/>
      <c r="B137" s="79"/>
      <c r="C137" s="20"/>
      <c r="D137" s="14"/>
      <c r="E137" s="20"/>
      <c r="F137" s="16">
        <f t="shared" si="4"/>
        <v>0</v>
      </c>
    </row>
    <row r="138" spans="1:6">
      <c r="A138" s="21" t="s">
        <v>3</v>
      </c>
      <c r="B138" s="77" t="s">
        <v>172</v>
      </c>
      <c r="C138" s="20"/>
      <c r="D138" s="14"/>
      <c r="E138" s="20"/>
      <c r="F138" s="16">
        <f t="shared" si="4"/>
        <v>0</v>
      </c>
    </row>
    <row r="139" spans="1:6" ht="29">
      <c r="A139" s="21"/>
      <c r="B139" s="77" t="s">
        <v>173</v>
      </c>
      <c r="C139" s="20" t="s">
        <v>19</v>
      </c>
      <c r="D139" s="23">
        <f>(433/0.2+1)*0.9*0.617</f>
        <v>1202.7798</v>
      </c>
      <c r="E139" s="20">
        <v>1.6</v>
      </c>
      <c r="F139" s="16">
        <f t="shared" si="4"/>
        <v>1924.4476800000002</v>
      </c>
    </row>
    <row r="140" spans="1:6">
      <c r="A140" s="21"/>
      <c r="B140" s="77"/>
      <c r="C140" s="20"/>
      <c r="D140" s="14"/>
      <c r="E140" s="20"/>
      <c r="F140" s="16">
        <f t="shared" si="4"/>
        <v>0</v>
      </c>
    </row>
    <row r="141" spans="1:6">
      <c r="A141" s="21"/>
      <c r="B141" s="78" t="s">
        <v>174</v>
      </c>
      <c r="C141" s="20"/>
      <c r="D141" s="14"/>
      <c r="E141" s="20"/>
      <c r="F141" s="16">
        <f t="shared" si="4"/>
        <v>0</v>
      </c>
    </row>
    <row r="142" spans="1:6">
      <c r="A142" s="21"/>
      <c r="B142" s="79"/>
      <c r="C142" s="20"/>
      <c r="D142" s="14"/>
      <c r="E142" s="20"/>
      <c r="F142" s="16">
        <f t="shared" si="4"/>
        <v>0</v>
      </c>
    </row>
    <row r="143" spans="1:6">
      <c r="A143" s="21" t="s">
        <v>6</v>
      </c>
      <c r="B143" s="77" t="s">
        <v>175</v>
      </c>
      <c r="C143" s="20" t="s">
        <v>19</v>
      </c>
      <c r="D143" s="23">
        <f>433*4*0.888</f>
        <v>1538.0160000000001</v>
      </c>
      <c r="E143" s="20">
        <v>1.6</v>
      </c>
      <c r="F143" s="16">
        <f t="shared" si="4"/>
        <v>2460.8256000000001</v>
      </c>
    </row>
    <row r="144" spans="1:6">
      <c r="A144" s="21"/>
      <c r="B144" s="79"/>
      <c r="C144" s="20"/>
      <c r="D144" s="14"/>
      <c r="E144" s="20"/>
      <c r="F144" s="16">
        <f t="shared" si="4"/>
        <v>0</v>
      </c>
    </row>
    <row r="145" spans="1:6">
      <c r="A145" s="21" t="s">
        <v>7</v>
      </c>
      <c r="B145" s="77" t="s">
        <v>176</v>
      </c>
      <c r="C145" s="20" t="s">
        <v>19</v>
      </c>
      <c r="D145" s="23">
        <f>(433/0.2+1)*1.6*0.617</f>
        <v>2138.2752</v>
      </c>
      <c r="E145" s="20">
        <v>1.6</v>
      </c>
      <c r="F145" s="16">
        <f t="shared" si="4"/>
        <v>3421.2403200000003</v>
      </c>
    </row>
    <row r="146" spans="1:6">
      <c r="A146" s="21"/>
      <c r="B146" s="77"/>
      <c r="C146" s="20"/>
      <c r="D146" s="14"/>
      <c r="E146" s="20"/>
      <c r="F146" s="16">
        <f t="shared" si="4"/>
        <v>0</v>
      </c>
    </row>
    <row r="147" spans="1:6">
      <c r="A147" s="21"/>
      <c r="B147" s="78" t="s">
        <v>164</v>
      </c>
      <c r="C147" s="20"/>
      <c r="D147" s="14"/>
      <c r="E147" s="20"/>
      <c r="F147" s="16">
        <f t="shared" si="4"/>
        <v>0</v>
      </c>
    </row>
    <row r="148" spans="1:6">
      <c r="A148" s="21"/>
      <c r="B148" s="77"/>
      <c r="C148" s="20"/>
      <c r="D148" s="14"/>
      <c r="E148" s="20"/>
      <c r="F148" s="16">
        <f t="shared" si="4"/>
        <v>0</v>
      </c>
    </row>
    <row r="149" spans="1:6">
      <c r="A149" s="21"/>
      <c r="B149" s="78" t="s">
        <v>177</v>
      </c>
      <c r="C149" s="20"/>
      <c r="D149" s="14"/>
      <c r="E149" s="20"/>
      <c r="F149" s="16">
        <f t="shared" si="4"/>
        <v>0</v>
      </c>
    </row>
    <row r="150" spans="1:6">
      <c r="A150" s="21"/>
      <c r="B150" s="77"/>
      <c r="C150" s="20"/>
      <c r="D150" s="14"/>
      <c r="E150" s="20"/>
      <c r="F150" s="16">
        <f t="shared" si="4"/>
        <v>0</v>
      </c>
    </row>
    <row r="151" spans="1:6">
      <c r="A151" s="21" t="s">
        <v>8</v>
      </c>
      <c r="B151" s="77" t="s">
        <v>170</v>
      </c>
      <c r="C151" s="20"/>
      <c r="D151" s="14"/>
      <c r="E151" s="20"/>
      <c r="F151" s="16">
        <f t="shared" si="4"/>
        <v>0</v>
      </c>
    </row>
    <row r="152" spans="1:6" ht="29">
      <c r="A152" s="21"/>
      <c r="B152" s="77" t="s">
        <v>171</v>
      </c>
      <c r="C152" s="20" t="s">
        <v>19</v>
      </c>
      <c r="D152" s="23">
        <f>12*1.1*72*0.888</f>
        <v>843.9552000000001</v>
      </c>
      <c r="E152" s="20">
        <v>1.6</v>
      </c>
      <c r="F152" s="16">
        <f t="shared" si="4"/>
        <v>1350.3283200000003</v>
      </c>
    </row>
    <row r="153" spans="1:6">
      <c r="A153" s="21"/>
      <c r="B153" s="77"/>
      <c r="C153" s="20"/>
      <c r="D153" s="14"/>
      <c r="E153" s="20"/>
      <c r="F153" s="16">
        <f t="shared" si="4"/>
        <v>0</v>
      </c>
    </row>
    <row r="154" spans="1:6">
      <c r="A154" s="21"/>
      <c r="B154" s="78" t="s">
        <v>178</v>
      </c>
      <c r="C154" s="20"/>
      <c r="D154" s="14"/>
      <c r="E154" s="20"/>
      <c r="F154" s="16">
        <f t="shared" si="4"/>
        <v>0</v>
      </c>
    </row>
    <row r="155" spans="1:6">
      <c r="A155" s="21"/>
      <c r="B155" s="77"/>
      <c r="C155" s="20"/>
      <c r="D155" s="14"/>
      <c r="E155" s="20"/>
      <c r="F155" s="16">
        <f t="shared" ref="F155:F170" si="5">D155*E155</f>
        <v>0</v>
      </c>
    </row>
    <row r="156" spans="1:6">
      <c r="A156" s="21" t="s">
        <v>10</v>
      </c>
      <c r="B156" s="77" t="s">
        <v>170</v>
      </c>
      <c r="C156" s="20"/>
      <c r="D156" s="14"/>
      <c r="E156" s="20"/>
      <c r="F156" s="16">
        <f t="shared" si="5"/>
        <v>0</v>
      </c>
    </row>
    <row r="157" spans="1:6" ht="29">
      <c r="A157" s="21"/>
      <c r="B157" s="77" t="s">
        <v>171</v>
      </c>
      <c r="C157" s="20" t="s">
        <v>19</v>
      </c>
      <c r="D157" s="23">
        <f>2.1*4*72*0.888</f>
        <v>537.06240000000003</v>
      </c>
      <c r="E157" s="20">
        <v>1.6</v>
      </c>
      <c r="F157" s="16">
        <f t="shared" si="5"/>
        <v>859.29984000000013</v>
      </c>
    </row>
    <row r="158" spans="1:6">
      <c r="A158" s="21"/>
      <c r="B158" s="77"/>
      <c r="C158" s="20"/>
      <c r="D158" s="14"/>
      <c r="E158" s="20"/>
      <c r="F158" s="16">
        <f t="shared" si="5"/>
        <v>0</v>
      </c>
    </row>
    <row r="159" spans="1:6">
      <c r="A159" s="21" t="s">
        <v>14</v>
      </c>
      <c r="B159" s="77" t="s">
        <v>172</v>
      </c>
      <c r="C159" s="20"/>
      <c r="D159" s="14"/>
      <c r="E159" s="20"/>
      <c r="F159" s="16">
        <f t="shared" si="5"/>
        <v>0</v>
      </c>
    </row>
    <row r="160" spans="1:6" ht="29">
      <c r="A160" s="21"/>
      <c r="B160" s="77" t="s">
        <v>173</v>
      </c>
      <c r="C160" s="20" t="s">
        <v>19</v>
      </c>
      <c r="D160" s="20">
        <f>(1200/200+1)*1.3*72*0.617</f>
        <v>404.25839999999994</v>
      </c>
      <c r="E160" s="20">
        <v>1.6</v>
      </c>
      <c r="F160" s="16">
        <f t="shared" si="5"/>
        <v>646.8134399999999</v>
      </c>
    </row>
    <row r="161" spans="1:6">
      <c r="A161" s="21"/>
      <c r="B161" s="77"/>
      <c r="C161" s="20"/>
      <c r="D161" s="14"/>
      <c r="E161" s="20"/>
      <c r="F161" s="16">
        <f t="shared" si="5"/>
        <v>0</v>
      </c>
    </row>
    <row r="162" spans="1:6">
      <c r="A162" s="21"/>
      <c r="B162" s="78" t="s">
        <v>164</v>
      </c>
      <c r="C162" s="20"/>
      <c r="D162" s="14"/>
      <c r="E162" s="20"/>
      <c r="F162" s="16">
        <f t="shared" si="5"/>
        <v>0</v>
      </c>
    </row>
    <row r="163" spans="1:6">
      <c r="A163" s="21"/>
      <c r="B163" s="77"/>
      <c r="C163" s="20"/>
      <c r="D163" s="14"/>
      <c r="E163" s="20"/>
      <c r="F163" s="16">
        <f t="shared" si="5"/>
        <v>0</v>
      </c>
    </row>
    <row r="164" spans="1:6">
      <c r="A164" s="21"/>
      <c r="B164" s="78" t="s">
        <v>238</v>
      </c>
      <c r="C164" s="20"/>
      <c r="D164" s="14"/>
      <c r="E164" s="20"/>
      <c r="F164" s="16">
        <f t="shared" si="5"/>
        <v>0</v>
      </c>
    </row>
    <row r="165" spans="1:6">
      <c r="A165" s="21"/>
      <c r="B165" s="77"/>
      <c r="C165" s="20"/>
      <c r="D165" s="14"/>
      <c r="E165" s="20"/>
      <c r="F165" s="16">
        <f t="shared" si="5"/>
        <v>0</v>
      </c>
    </row>
    <row r="166" spans="1:6">
      <c r="A166" s="21" t="s">
        <v>9</v>
      </c>
      <c r="B166" s="77" t="s">
        <v>170</v>
      </c>
      <c r="C166" s="20"/>
      <c r="D166" s="14"/>
      <c r="E166" s="20"/>
      <c r="F166" s="16">
        <f t="shared" si="5"/>
        <v>0</v>
      </c>
    </row>
    <row r="167" spans="1:6" ht="29">
      <c r="A167" s="21"/>
      <c r="B167" s="77" t="s">
        <v>171</v>
      </c>
      <c r="C167" s="20" t="s">
        <v>19</v>
      </c>
      <c r="D167" s="23">
        <f>4*3.1*72*0.888</f>
        <v>792.80640000000005</v>
      </c>
      <c r="E167" s="20">
        <v>1.6</v>
      </c>
      <c r="F167" s="16">
        <f t="shared" si="5"/>
        <v>1268.4902400000001</v>
      </c>
    </row>
    <row r="168" spans="1:6">
      <c r="A168" s="21"/>
      <c r="B168" s="77"/>
      <c r="C168" s="20"/>
      <c r="D168" s="14"/>
      <c r="E168" s="20"/>
      <c r="F168" s="16">
        <f t="shared" si="5"/>
        <v>0</v>
      </c>
    </row>
    <row r="169" spans="1:6">
      <c r="A169" s="21" t="s">
        <v>11</v>
      </c>
      <c r="B169" s="77" t="s">
        <v>172</v>
      </c>
      <c r="C169" s="20"/>
      <c r="D169" s="14"/>
      <c r="E169" s="20"/>
      <c r="F169" s="16">
        <f t="shared" si="5"/>
        <v>0</v>
      </c>
    </row>
    <row r="170" spans="1:6" ht="29">
      <c r="A170" s="21"/>
      <c r="B170" s="77" t="s">
        <v>173</v>
      </c>
      <c r="C170" s="20" t="s">
        <v>19</v>
      </c>
      <c r="D170" s="20">
        <f>(3/0.2+1)*1.7*0.617*72</f>
        <v>1208.3327999999999</v>
      </c>
      <c r="E170" s="20">
        <v>1.6</v>
      </c>
      <c r="F170" s="16">
        <f t="shared" si="5"/>
        <v>1933.33248</v>
      </c>
    </row>
    <row r="171" spans="1:6">
      <c r="A171" s="21"/>
      <c r="B171" s="77"/>
      <c r="C171" s="20"/>
      <c r="D171" s="20"/>
      <c r="E171" s="20"/>
      <c r="F171" s="16"/>
    </row>
    <row r="172" spans="1:6">
      <c r="A172" s="21"/>
      <c r="B172" s="78" t="s">
        <v>167</v>
      </c>
      <c r="C172" s="20"/>
      <c r="D172" s="14"/>
      <c r="E172" s="20"/>
      <c r="F172" s="16">
        <f>D172*E172</f>
        <v>0</v>
      </c>
    </row>
    <row r="173" spans="1:6">
      <c r="A173" s="21"/>
      <c r="B173" s="77"/>
      <c r="C173" s="20"/>
      <c r="D173" s="14"/>
      <c r="E173" s="20"/>
      <c r="F173" s="16">
        <f>D173*E173</f>
        <v>0</v>
      </c>
    </row>
    <row r="174" spans="1:6">
      <c r="A174" s="21"/>
      <c r="B174" s="78" t="s">
        <v>229</v>
      </c>
      <c r="C174" s="20"/>
      <c r="D174" s="14"/>
      <c r="E174" s="20"/>
      <c r="F174" s="16">
        <f>D174*E174</f>
        <v>0</v>
      </c>
    </row>
    <row r="175" spans="1:6">
      <c r="A175" s="21"/>
      <c r="B175" s="77"/>
      <c r="C175" s="20"/>
      <c r="D175" s="14"/>
      <c r="E175" s="20"/>
      <c r="F175" s="16">
        <f>D175*E175</f>
        <v>0</v>
      </c>
    </row>
    <row r="176" spans="1:6">
      <c r="A176" s="21"/>
      <c r="B176" s="77" t="s">
        <v>411</v>
      </c>
      <c r="C176" s="20" t="s">
        <v>19</v>
      </c>
      <c r="D176" s="31">
        <v>1811</v>
      </c>
      <c r="E176" s="29">
        <v>1.6</v>
      </c>
      <c r="F176" s="32">
        <f>D176*E176</f>
        <v>2897.6000000000004</v>
      </c>
    </row>
    <row r="177" spans="1:6">
      <c r="A177" s="21"/>
      <c r="B177" s="77"/>
    </row>
    <row r="178" spans="1:6">
      <c r="A178" s="21"/>
      <c r="B178" s="77" t="s">
        <v>412</v>
      </c>
      <c r="C178" s="20" t="s">
        <v>19</v>
      </c>
      <c r="D178" s="31">
        <v>7918</v>
      </c>
      <c r="E178" s="29">
        <v>1.6</v>
      </c>
      <c r="F178" s="32">
        <f>D178*E178</f>
        <v>12668.800000000001</v>
      </c>
    </row>
    <row r="179" spans="1:6">
      <c r="A179" s="21"/>
      <c r="B179" s="77"/>
      <c r="C179" s="20"/>
      <c r="D179" s="31"/>
      <c r="E179" s="29"/>
      <c r="F179" s="32"/>
    </row>
    <row r="180" spans="1:6" ht="29">
      <c r="A180" s="21"/>
      <c r="B180" s="77" t="s">
        <v>230</v>
      </c>
      <c r="C180" s="20" t="s">
        <v>19</v>
      </c>
      <c r="D180" s="31">
        <v>1977</v>
      </c>
      <c r="E180" s="29">
        <v>1.6</v>
      </c>
      <c r="F180" s="32">
        <f t="shared" ref="F180:F187" si="6">D180*E180</f>
        <v>3163.2000000000003</v>
      </c>
    </row>
    <row r="181" spans="1:6">
      <c r="A181" s="21"/>
      <c r="B181" s="77"/>
      <c r="C181" s="20"/>
      <c r="D181" s="14"/>
      <c r="E181" s="20"/>
      <c r="F181" s="16">
        <f t="shared" si="6"/>
        <v>0</v>
      </c>
    </row>
    <row r="182" spans="1:6">
      <c r="A182" s="21"/>
      <c r="B182" s="78" t="s">
        <v>49</v>
      </c>
      <c r="C182" s="24"/>
      <c r="D182" s="14"/>
      <c r="E182" s="20"/>
      <c r="F182" s="16">
        <f t="shared" si="6"/>
        <v>0</v>
      </c>
    </row>
    <row r="183" spans="1:6">
      <c r="A183" s="21"/>
      <c r="B183" s="79"/>
      <c r="C183" s="24"/>
      <c r="D183" s="14"/>
      <c r="E183" s="20"/>
      <c r="F183" s="16">
        <f t="shared" si="6"/>
        <v>0</v>
      </c>
    </row>
    <row r="184" spans="1:6" ht="16.5">
      <c r="A184" s="21" t="s">
        <v>16</v>
      </c>
      <c r="B184" s="77" t="s">
        <v>335</v>
      </c>
      <c r="C184" s="22" t="s">
        <v>408</v>
      </c>
      <c r="D184" s="23">
        <v>108</v>
      </c>
      <c r="E184" s="20">
        <v>4</v>
      </c>
      <c r="F184" s="16">
        <f t="shared" si="6"/>
        <v>432</v>
      </c>
    </row>
    <row r="185" spans="1:6">
      <c r="A185" s="21"/>
      <c r="B185" s="77"/>
      <c r="C185" s="20"/>
      <c r="D185" s="14"/>
      <c r="E185" s="20"/>
      <c r="F185" s="16">
        <f t="shared" si="6"/>
        <v>0</v>
      </c>
    </row>
    <row r="186" spans="1:6" ht="16.5">
      <c r="A186" s="21" t="s">
        <v>17</v>
      </c>
      <c r="B186" s="77" t="s">
        <v>182</v>
      </c>
      <c r="C186" s="22" t="s">
        <v>408</v>
      </c>
      <c r="D186" s="23">
        <v>1764</v>
      </c>
      <c r="E186" s="20">
        <v>4</v>
      </c>
      <c r="F186" s="16">
        <f t="shared" si="6"/>
        <v>7056</v>
      </c>
    </row>
    <row r="187" spans="1:6">
      <c r="A187" s="21"/>
      <c r="B187" s="77"/>
      <c r="C187" s="20"/>
      <c r="D187" s="14"/>
      <c r="E187" s="20"/>
      <c r="F187" s="16">
        <f t="shared" si="6"/>
        <v>0</v>
      </c>
    </row>
    <row r="188" spans="1:6">
      <c r="A188" s="21"/>
      <c r="B188" s="76" t="s">
        <v>147</v>
      </c>
      <c r="C188" s="24" t="s">
        <v>148</v>
      </c>
      <c r="D188" s="25"/>
      <c r="E188" s="25"/>
      <c r="F188" s="25">
        <f>SUM(F95:F187)</f>
        <v>191420.28352000008</v>
      </c>
    </row>
    <row r="189" spans="1:6">
      <c r="A189" s="21"/>
      <c r="B189" s="76"/>
      <c r="C189" s="24"/>
      <c r="D189" s="14"/>
      <c r="E189" s="20"/>
      <c r="F189" s="16">
        <f t="shared" ref="F189:F220" si="7">D189*E189</f>
        <v>0</v>
      </c>
    </row>
    <row r="190" spans="1:6">
      <c r="A190" s="21"/>
      <c r="B190" s="74" t="str">
        <f>B7</f>
        <v>SECTION 2: MAIN BLOCK</v>
      </c>
      <c r="C190" s="24"/>
      <c r="D190" s="14"/>
      <c r="E190" s="20"/>
      <c r="F190" s="16">
        <f t="shared" si="7"/>
        <v>0</v>
      </c>
    </row>
    <row r="191" spans="1:6">
      <c r="A191" s="21"/>
      <c r="B191" s="76"/>
      <c r="C191" s="24"/>
      <c r="D191" s="14"/>
      <c r="E191" s="20"/>
      <c r="F191" s="16">
        <f t="shared" si="7"/>
        <v>0</v>
      </c>
    </row>
    <row r="192" spans="1:6">
      <c r="A192" s="21"/>
      <c r="B192" s="74" t="s">
        <v>183</v>
      </c>
      <c r="C192" s="24"/>
      <c r="D192" s="14"/>
      <c r="E192" s="20"/>
      <c r="F192" s="16">
        <f t="shared" si="7"/>
        <v>0</v>
      </c>
    </row>
    <row r="193" spans="1:6">
      <c r="A193" s="21"/>
      <c r="B193" s="76"/>
      <c r="C193" s="24"/>
      <c r="D193" s="14"/>
      <c r="E193" s="20"/>
      <c r="F193" s="16">
        <f t="shared" si="7"/>
        <v>0</v>
      </c>
    </row>
    <row r="194" spans="1:6">
      <c r="A194" s="21"/>
      <c r="B194" s="78" t="s">
        <v>239</v>
      </c>
      <c r="C194" s="24"/>
      <c r="D194" s="14"/>
      <c r="E194" s="20"/>
      <c r="F194" s="16">
        <f t="shared" si="7"/>
        <v>0</v>
      </c>
    </row>
    <row r="195" spans="1:6">
      <c r="A195" s="21"/>
      <c r="B195" s="77"/>
      <c r="C195" s="20"/>
      <c r="D195" s="14"/>
      <c r="E195" s="20"/>
      <c r="F195" s="16">
        <f t="shared" si="7"/>
        <v>0</v>
      </c>
    </row>
    <row r="196" spans="1:6">
      <c r="A196" s="21"/>
      <c r="B196" s="81" t="s">
        <v>240</v>
      </c>
      <c r="C196" s="20"/>
      <c r="D196" s="14"/>
      <c r="E196" s="20"/>
      <c r="F196" s="16">
        <f t="shared" si="7"/>
        <v>0</v>
      </c>
    </row>
    <row r="197" spans="1:6">
      <c r="A197" s="21"/>
      <c r="B197" s="78" t="s">
        <v>184</v>
      </c>
      <c r="C197" s="20"/>
      <c r="D197" s="14"/>
      <c r="E197" s="20"/>
      <c r="F197" s="16">
        <f t="shared" si="7"/>
        <v>0</v>
      </c>
    </row>
    <row r="198" spans="1:6">
      <c r="A198" s="21"/>
      <c r="B198" s="78"/>
      <c r="C198" s="20"/>
      <c r="D198" s="14"/>
      <c r="E198" s="20"/>
      <c r="F198" s="16">
        <f t="shared" si="7"/>
        <v>0</v>
      </c>
    </row>
    <row r="199" spans="1:6" ht="16.5">
      <c r="A199" s="21" t="s">
        <v>13</v>
      </c>
      <c r="B199" s="77" t="s">
        <v>185</v>
      </c>
      <c r="C199" s="22" t="s">
        <v>413</v>
      </c>
      <c r="D199" s="33">
        <f>433*1.2</f>
        <v>519.6</v>
      </c>
      <c r="E199" s="20">
        <v>23</v>
      </c>
      <c r="F199" s="16">
        <f t="shared" si="7"/>
        <v>11950.800000000001</v>
      </c>
    </row>
    <row r="200" spans="1:6">
      <c r="A200" s="21"/>
      <c r="B200" s="77"/>
      <c r="C200" s="20"/>
      <c r="D200" s="14"/>
      <c r="E200" s="20"/>
      <c r="F200" s="16">
        <f t="shared" si="7"/>
        <v>0</v>
      </c>
    </row>
    <row r="201" spans="1:6">
      <c r="A201" s="21"/>
      <c r="B201" s="78" t="s">
        <v>186</v>
      </c>
      <c r="C201" s="20"/>
      <c r="D201" s="14"/>
      <c r="E201" s="20"/>
      <c r="F201" s="16">
        <f t="shared" si="7"/>
        <v>0</v>
      </c>
    </row>
    <row r="202" spans="1:6">
      <c r="A202" s="21"/>
      <c r="B202" s="77"/>
      <c r="C202" s="20"/>
      <c r="D202" s="14"/>
      <c r="E202" s="20"/>
      <c r="F202" s="16">
        <f t="shared" si="7"/>
        <v>0</v>
      </c>
    </row>
    <row r="203" spans="1:6">
      <c r="A203" s="21"/>
      <c r="B203" s="81" t="s">
        <v>51</v>
      </c>
      <c r="C203" s="20"/>
      <c r="D203" s="14"/>
      <c r="E203" s="20"/>
      <c r="F203" s="16">
        <f t="shared" si="7"/>
        <v>0</v>
      </c>
    </row>
    <row r="204" spans="1:6">
      <c r="A204" s="21"/>
      <c r="B204" s="78" t="s">
        <v>52</v>
      </c>
      <c r="C204" s="20"/>
      <c r="D204" s="14"/>
      <c r="E204" s="20"/>
      <c r="F204" s="16">
        <f t="shared" si="7"/>
        <v>0</v>
      </c>
    </row>
    <row r="205" spans="1:6">
      <c r="A205" s="21"/>
      <c r="B205" s="78" t="s">
        <v>53</v>
      </c>
      <c r="C205" s="20"/>
      <c r="D205" s="14"/>
      <c r="E205" s="20"/>
      <c r="F205" s="16">
        <f t="shared" si="7"/>
        <v>0</v>
      </c>
    </row>
    <row r="206" spans="1:6">
      <c r="A206" s="21"/>
      <c r="B206" s="78" t="s">
        <v>54</v>
      </c>
      <c r="C206" s="20"/>
      <c r="D206" s="14"/>
      <c r="E206" s="20"/>
      <c r="F206" s="16">
        <f t="shared" si="7"/>
        <v>0</v>
      </c>
    </row>
    <row r="207" spans="1:6">
      <c r="A207" s="21"/>
      <c r="B207" s="79"/>
      <c r="C207" s="20"/>
      <c r="D207" s="14"/>
      <c r="E207" s="20"/>
      <c r="F207" s="16">
        <f t="shared" si="7"/>
        <v>0</v>
      </c>
    </row>
    <row r="208" spans="1:6" ht="16.5">
      <c r="A208" s="21" t="s">
        <v>3</v>
      </c>
      <c r="B208" s="77" t="s">
        <v>241</v>
      </c>
      <c r="C208" s="22" t="s">
        <v>408</v>
      </c>
      <c r="D208" s="14">
        <f>433*3</f>
        <v>1299</v>
      </c>
      <c r="E208" s="20">
        <v>16</v>
      </c>
      <c r="F208" s="16">
        <f t="shared" si="7"/>
        <v>20784</v>
      </c>
    </row>
    <row r="209" spans="1:6">
      <c r="A209" s="21"/>
      <c r="B209" s="77"/>
      <c r="C209" s="22"/>
      <c r="D209" s="14"/>
      <c r="E209" s="20"/>
      <c r="F209" s="16">
        <f t="shared" si="7"/>
        <v>0</v>
      </c>
    </row>
    <row r="210" spans="1:6" ht="16.5">
      <c r="A210" s="21" t="s">
        <v>7</v>
      </c>
      <c r="B210" s="77" t="s">
        <v>359</v>
      </c>
      <c r="C210" s="22" t="s">
        <v>408</v>
      </c>
      <c r="D210" s="23">
        <f>31*1.5</f>
        <v>46.5</v>
      </c>
      <c r="E210" s="20">
        <v>16</v>
      </c>
      <c r="F210" s="16">
        <f t="shared" si="7"/>
        <v>744</v>
      </c>
    </row>
    <row r="211" spans="1:6">
      <c r="A211" s="21"/>
      <c r="B211" s="77"/>
      <c r="C211" s="22"/>
      <c r="D211" s="14"/>
      <c r="E211" s="20"/>
      <c r="F211" s="16">
        <f t="shared" si="7"/>
        <v>0</v>
      </c>
    </row>
    <row r="212" spans="1:6" ht="29">
      <c r="A212" s="21"/>
      <c r="B212" s="81" t="s">
        <v>242</v>
      </c>
      <c r="C212" s="20"/>
      <c r="D212" s="14"/>
      <c r="E212" s="20"/>
      <c r="F212" s="16">
        <f t="shared" si="7"/>
        <v>0</v>
      </c>
    </row>
    <row r="213" spans="1:6">
      <c r="A213" s="21"/>
      <c r="B213" s="81" t="s">
        <v>243</v>
      </c>
      <c r="C213" s="20"/>
      <c r="D213" s="14"/>
      <c r="E213" s="20"/>
      <c r="F213" s="16">
        <f t="shared" si="7"/>
        <v>0</v>
      </c>
    </row>
    <row r="214" spans="1:6">
      <c r="A214" s="21"/>
      <c r="B214" s="81"/>
      <c r="C214" s="20"/>
      <c r="D214" s="14"/>
      <c r="E214" s="20"/>
      <c r="F214" s="16">
        <f t="shared" si="7"/>
        <v>0</v>
      </c>
    </row>
    <row r="215" spans="1:6" ht="29">
      <c r="A215" s="21" t="s">
        <v>10</v>
      </c>
      <c r="B215" s="77" t="s">
        <v>244</v>
      </c>
      <c r="C215" s="20"/>
      <c r="D215" s="14"/>
      <c r="E215" s="20"/>
      <c r="F215" s="16">
        <f t="shared" si="7"/>
        <v>0</v>
      </c>
    </row>
    <row r="216" spans="1:6" ht="29">
      <c r="A216" s="21"/>
      <c r="B216" s="77" t="s">
        <v>245</v>
      </c>
      <c r="C216" s="20"/>
      <c r="D216" s="14"/>
      <c r="E216" s="20"/>
      <c r="F216" s="16">
        <f t="shared" si="7"/>
        <v>0</v>
      </c>
    </row>
    <row r="217" spans="1:6">
      <c r="A217" s="21"/>
      <c r="B217" s="77" t="s">
        <v>246</v>
      </c>
      <c r="C217" s="20" t="s">
        <v>50</v>
      </c>
      <c r="D217" s="14">
        <v>464</v>
      </c>
      <c r="E217" s="20">
        <v>3</v>
      </c>
      <c r="F217" s="16">
        <f t="shared" si="7"/>
        <v>1392</v>
      </c>
    </row>
    <row r="218" spans="1:6">
      <c r="A218" s="21"/>
      <c r="B218" s="77"/>
      <c r="C218" s="20"/>
      <c r="D218" s="14"/>
      <c r="E218" s="20"/>
      <c r="F218" s="16">
        <f t="shared" si="7"/>
        <v>0</v>
      </c>
    </row>
    <row r="219" spans="1:6">
      <c r="A219" s="21" t="s">
        <v>14</v>
      </c>
      <c r="B219" s="77" t="s">
        <v>247</v>
      </c>
      <c r="C219" s="20" t="s">
        <v>50</v>
      </c>
      <c r="D219" s="14">
        <v>33</v>
      </c>
      <c r="E219" s="20">
        <v>10</v>
      </c>
      <c r="F219" s="16">
        <f t="shared" si="7"/>
        <v>330</v>
      </c>
    </row>
    <row r="220" spans="1:6">
      <c r="A220" s="21"/>
      <c r="B220" s="77"/>
      <c r="C220" s="20"/>
      <c r="D220" s="14"/>
      <c r="E220" s="20"/>
      <c r="F220" s="16">
        <f t="shared" si="7"/>
        <v>0</v>
      </c>
    </row>
    <row r="221" spans="1:6" ht="16.5">
      <c r="A221" s="21" t="s">
        <v>9</v>
      </c>
      <c r="B221" s="77" t="s">
        <v>337</v>
      </c>
      <c r="C221" s="22" t="s">
        <v>408</v>
      </c>
      <c r="D221" s="26">
        <f>24*1.5</f>
        <v>36</v>
      </c>
      <c r="E221" s="20">
        <v>8</v>
      </c>
      <c r="F221" s="16">
        <f t="shared" ref="F221:F252" si="8">D221*E221</f>
        <v>288</v>
      </c>
    </row>
    <row r="222" spans="1:6">
      <c r="A222" s="21"/>
      <c r="B222" s="77"/>
      <c r="C222" s="20"/>
      <c r="D222" s="14"/>
      <c r="E222" s="20"/>
      <c r="F222" s="16">
        <f t="shared" si="8"/>
        <v>0</v>
      </c>
    </row>
    <row r="223" spans="1:6">
      <c r="A223" s="21"/>
      <c r="B223" s="77"/>
      <c r="C223" s="20"/>
      <c r="D223" s="14"/>
      <c r="E223" s="20"/>
      <c r="F223" s="16">
        <f t="shared" si="8"/>
        <v>0</v>
      </c>
    </row>
    <row r="224" spans="1:6">
      <c r="A224" s="21"/>
      <c r="B224" s="78"/>
      <c r="C224" s="20"/>
      <c r="D224" s="14"/>
      <c r="E224" s="20"/>
      <c r="F224" s="16">
        <f t="shared" si="8"/>
        <v>0</v>
      </c>
    </row>
    <row r="225" spans="1:6">
      <c r="A225" s="21"/>
      <c r="B225" s="78"/>
      <c r="C225" s="20"/>
      <c r="D225" s="14"/>
      <c r="E225" s="20"/>
      <c r="F225" s="16">
        <f t="shared" si="8"/>
        <v>0</v>
      </c>
    </row>
    <row r="226" spans="1:6">
      <c r="A226" s="21"/>
      <c r="B226" s="78"/>
      <c r="C226" s="20"/>
      <c r="D226" s="14"/>
      <c r="E226" s="20"/>
      <c r="F226" s="16">
        <f t="shared" si="8"/>
        <v>0</v>
      </c>
    </row>
    <row r="227" spans="1:6">
      <c r="A227" s="21"/>
      <c r="B227" s="77"/>
      <c r="C227" s="20"/>
      <c r="D227" s="14"/>
      <c r="E227" s="20"/>
      <c r="F227" s="16">
        <f t="shared" si="8"/>
        <v>0</v>
      </c>
    </row>
    <row r="228" spans="1:6">
      <c r="A228" s="21"/>
      <c r="B228" s="78"/>
      <c r="C228" s="20"/>
      <c r="D228" s="14"/>
      <c r="E228" s="20"/>
      <c r="F228" s="16">
        <f t="shared" si="8"/>
        <v>0</v>
      </c>
    </row>
    <row r="229" spans="1:6">
      <c r="A229" s="21"/>
      <c r="B229" s="77"/>
      <c r="C229" s="20"/>
      <c r="D229" s="14"/>
      <c r="E229" s="20"/>
      <c r="F229" s="16">
        <f t="shared" si="8"/>
        <v>0</v>
      </c>
    </row>
    <row r="230" spans="1:6">
      <c r="A230" s="21"/>
      <c r="B230" s="77"/>
      <c r="C230" s="20"/>
      <c r="D230" s="14"/>
      <c r="E230" s="20"/>
      <c r="F230" s="16">
        <f t="shared" si="8"/>
        <v>0</v>
      </c>
    </row>
    <row r="231" spans="1:6">
      <c r="A231" s="21"/>
      <c r="B231" s="77"/>
      <c r="C231" s="20"/>
      <c r="D231" s="14"/>
      <c r="E231" s="20"/>
      <c r="F231" s="16">
        <f t="shared" si="8"/>
        <v>0</v>
      </c>
    </row>
    <row r="232" spans="1:6">
      <c r="A232" s="21"/>
      <c r="B232" s="77"/>
      <c r="C232" s="20"/>
      <c r="D232" s="14"/>
      <c r="E232" s="20"/>
      <c r="F232" s="16">
        <f t="shared" si="8"/>
        <v>0</v>
      </c>
    </row>
    <row r="233" spans="1:6">
      <c r="A233" s="21"/>
      <c r="B233" s="77"/>
      <c r="C233" s="20"/>
      <c r="D233" s="14"/>
      <c r="E233" s="20"/>
      <c r="F233" s="16">
        <f t="shared" si="8"/>
        <v>0</v>
      </c>
    </row>
    <row r="234" spans="1:6">
      <c r="A234" s="21"/>
      <c r="B234" s="77"/>
      <c r="C234" s="22"/>
      <c r="D234" s="14"/>
      <c r="E234" s="20"/>
      <c r="F234" s="16">
        <f t="shared" si="8"/>
        <v>0</v>
      </c>
    </row>
    <row r="235" spans="1:6">
      <c r="A235" s="21"/>
      <c r="B235" s="77"/>
      <c r="C235" s="20"/>
      <c r="D235" s="14"/>
      <c r="E235" s="20"/>
      <c r="F235" s="16">
        <f t="shared" si="8"/>
        <v>0</v>
      </c>
    </row>
    <row r="236" spans="1:6">
      <c r="A236" s="21"/>
      <c r="B236" s="77"/>
      <c r="C236" s="22"/>
      <c r="D236" s="14"/>
      <c r="E236" s="20"/>
      <c r="F236" s="16">
        <f t="shared" si="8"/>
        <v>0</v>
      </c>
    </row>
    <row r="237" spans="1:6">
      <c r="A237" s="21"/>
      <c r="B237" s="77"/>
      <c r="C237" s="20"/>
      <c r="D237" s="14"/>
      <c r="E237" s="20"/>
      <c r="F237" s="16">
        <f t="shared" si="8"/>
        <v>0</v>
      </c>
    </row>
    <row r="238" spans="1:6">
      <c r="A238" s="21"/>
      <c r="B238" s="77"/>
      <c r="C238" s="20"/>
      <c r="D238" s="14"/>
      <c r="E238" s="20"/>
      <c r="F238" s="16">
        <f t="shared" si="8"/>
        <v>0</v>
      </c>
    </row>
    <row r="239" spans="1:6">
      <c r="A239" s="21"/>
      <c r="B239" s="78"/>
      <c r="C239" s="22"/>
      <c r="D239" s="14"/>
      <c r="E239" s="20"/>
      <c r="F239" s="16">
        <f t="shared" si="8"/>
        <v>0</v>
      </c>
    </row>
    <row r="240" spans="1:6">
      <c r="A240" s="21"/>
      <c r="B240" s="78"/>
      <c r="C240" s="22"/>
      <c r="D240" s="14"/>
      <c r="E240" s="20"/>
      <c r="F240" s="16">
        <f t="shared" si="8"/>
        <v>0</v>
      </c>
    </row>
    <row r="241" spans="1:6">
      <c r="A241" s="21"/>
      <c r="B241" s="78"/>
      <c r="C241" s="22"/>
      <c r="D241" s="14"/>
      <c r="E241" s="20"/>
      <c r="F241" s="16">
        <f t="shared" si="8"/>
        <v>0</v>
      </c>
    </row>
    <row r="242" spans="1:6">
      <c r="A242" s="21"/>
      <c r="B242" s="78"/>
      <c r="C242" s="22"/>
      <c r="D242" s="14"/>
      <c r="E242" s="20"/>
      <c r="F242" s="16">
        <f t="shared" si="8"/>
        <v>0</v>
      </c>
    </row>
    <row r="243" spans="1:6">
      <c r="A243" s="21"/>
      <c r="B243" s="78"/>
      <c r="C243" s="22"/>
      <c r="D243" s="14"/>
      <c r="E243" s="20"/>
      <c r="F243" s="16">
        <f t="shared" si="8"/>
        <v>0</v>
      </c>
    </row>
    <row r="244" spans="1:6">
      <c r="A244" s="21"/>
      <c r="B244" s="78"/>
      <c r="C244" s="22"/>
      <c r="D244" s="14"/>
      <c r="E244" s="20"/>
      <c r="F244" s="16">
        <f t="shared" si="8"/>
        <v>0</v>
      </c>
    </row>
    <row r="245" spans="1:6">
      <c r="A245" s="21"/>
      <c r="B245" s="77"/>
      <c r="C245" s="20"/>
      <c r="D245" s="14"/>
      <c r="E245" s="20"/>
      <c r="F245" s="16">
        <f t="shared" si="8"/>
        <v>0</v>
      </c>
    </row>
    <row r="246" spans="1:6">
      <c r="A246" s="21"/>
      <c r="B246" s="77"/>
      <c r="C246" s="22"/>
      <c r="D246" s="14"/>
      <c r="E246" s="20"/>
      <c r="F246" s="16">
        <f t="shared" si="8"/>
        <v>0</v>
      </c>
    </row>
    <row r="247" spans="1:6">
      <c r="A247" s="21"/>
      <c r="B247" s="77"/>
      <c r="C247" s="20"/>
      <c r="D247" s="14"/>
      <c r="E247" s="20"/>
      <c r="F247" s="16">
        <f t="shared" si="8"/>
        <v>0</v>
      </c>
    </row>
    <row r="248" spans="1:6">
      <c r="A248" s="21"/>
      <c r="B248" s="77"/>
      <c r="C248" s="22"/>
      <c r="D248" s="14"/>
      <c r="E248" s="20"/>
      <c r="F248" s="16">
        <f t="shared" si="8"/>
        <v>0</v>
      </c>
    </row>
    <row r="249" spans="1:6">
      <c r="A249" s="21"/>
      <c r="B249" s="77"/>
      <c r="C249" s="20"/>
      <c r="D249" s="14"/>
      <c r="E249" s="20"/>
      <c r="F249" s="16">
        <f t="shared" si="8"/>
        <v>0</v>
      </c>
    </row>
    <row r="250" spans="1:6">
      <c r="A250" s="21"/>
      <c r="B250" s="77"/>
      <c r="C250" s="20"/>
      <c r="D250" s="14"/>
      <c r="E250" s="20"/>
      <c r="F250" s="16">
        <f t="shared" si="8"/>
        <v>0</v>
      </c>
    </row>
    <row r="251" spans="1:6">
      <c r="A251" s="21"/>
      <c r="B251" s="82"/>
      <c r="C251" s="34"/>
      <c r="D251" s="14"/>
      <c r="E251" s="20"/>
      <c r="F251" s="16">
        <f t="shared" si="8"/>
        <v>0</v>
      </c>
    </row>
    <row r="252" spans="1:6">
      <c r="A252" s="21"/>
      <c r="B252" s="83"/>
      <c r="C252" s="20"/>
      <c r="D252" s="14"/>
      <c r="E252" s="20"/>
      <c r="F252" s="16">
        <f t="shared" si="8"/>
        <v>0</v>
      </c>
    </row>
    <row r="253" spans="1:6">
      <c r="A253" s="21"/>
      <c r="B253" s="77"/>
      <c r="C253" s="20"/>
      <c r="D253" s="14"/>
      <c r="E253" s="20"/>
      <c r="F253" s="16">
        <f>D253*E253</f>
        <v>0</v>
      </c>
    </row>
    <row r="254" spans="1:6">
      <c r="A254" s="21"/>
      <c r="B254" s="76" t="s">
        <v>147</v>
      </c>
      <c r="C254" s="24" t="s">
        <v>148</v>
      </c>
      <c r="D254" s="25"/>
      <c r="E254" s="25"/>
      <c r="F254" s="25">
        <f>SUM(F199:F253)</f>
        <v>35488.800000000003</v>
      </c>
    </row>
    <row r="255" spans="1:6">
      <c r="A255" s="21"/>
      <c r="B255" s="76"/>
      <c r="C255" s="24"/>
      <c r="D255" s="14"/>
      <c r="E255" s="20"/>
      <c r="F255" s="16">
        <f>D255*E255</f>
        <v>0</v>
      </c>
    </row>
    <row r="256" spans="1:6">
      <c r="A256" s="21"/>
      <c r="B256" s="74" t="str">
        <f>B7</f>
        <v>SECTION 2: MAIN BLOCK</v>
      </c>
      <c r="C256" s="20"/>
      <c r="D256" s="14"/>
      <c r="E256" s="20"/>
      <c r="F256" s="16">
        <f>D256*E256</f>
        <v>0</v>
      </c>
    </row>
    <row r="257" spans="1:6">
      <c r="A257" s="21"/>
      <c r="B257" s="74"/>
      <c r="C257" s="20"/>
      <c r="D257" s="14"/>
      <c r="E257" s="20"/>
      <c r="F257" s="16">
        <f>D257*E257</f>
        <v>0</v>
      </c>
    </row>
    <row r="258" spans="1:6">
      <c r="A258" s="21"/>
      <c r="B258" s="74" t="s">
        <v>414</v>
      </c>
      <c r="C258" s="35"/>
      <c r="D258" s="14"/>
      <c r="E258" s="20"/>
      <c r="F258" s="16">
        <f>D258*E258</f>
        <v>0</v>
      </c>
    </row>
    <row r="259" spans="1:6" ht="15" thickBot="1">
      <c r="A259" s="21"/>
      <c r="B259" s="74"/>
      <c r="C259" s="35"/>
      <c r="D259" s="14"/>
      <c r="E259" s="20"/>
      <c r="F259" s="16">
        <f>D259*E259</f>
        <v>0</v>
      </c>
    </row>
    <row r="260" spans="1:6" s="39" customFormat="1" ht="29.5" thickBot="1">
      <c r="A260" s="36" t="s">
        <v>34</v>
      </c>
      <c r="B260" s="37" t="s">
        <v>415</v>
      </c>
      <c r="C260" s="36" t="s">
        <v>34</v>
      </c>
      <c r="D260" s="38"/>
    </row>
    <row r="261" spans="1:6" s="39" customFormat="1" ht="15" thickBot="1">
      <c r="A261" s="36" t="s">
        <v>34</v>
      </c>
      <c r="B261" s="36" t="s">
        <v>372</v>
      </c>
      <c r="C261" s="36" t="s">
        <v>34</v>
      </c>
      <c r="D261" s="38"/>
    </row>
    <row r="262" spans="1:6" s="39" customFormat="1" ht="15" thickBot="1">
      <c r="A262" s="36" t="s">
        <v>34</v>
      </c>
      <c r="B262" s="36" t="s">
        <v>373</v>
      </c>
      <c r="C262" s="36" t="s">
        <v>34</v>
      </c>
      <c r="D262" s="38"/>
    </row>
    <row r="263" spans="1:6" s="39" customFormat="1" ht="29.5" thickBot="1">
      <c r="A263" s="36">
        <v>4.5</v>
      </c>
      <c r="B263" s="36" t="s">
        <v>374</v>
      </c>
      <c r="C263" s="36" t="s">
        <v>33</v>
      </c>
      <c r="D263" s="36">
        <v>120</v>
      </c>
      <c r="E263" s="36">
        <v>2.5</v>
      </c>
      <c r="F263" s="36">
        <f>E263*D263</f>
        <v>300</v>
      </c>
    </row>
    <row r="264" spans="1:6" s="39" customFormat="1" ht="15" thickBot="1">
      <c r="A264" s="36">
        <v>4.51</v>
      </c>
      <c r="B264" s="36" t="s">
        <v>375</v>
      </c>
      <c r="C264" s="36" t="s">
        <v>50</v>
      </c>
      <c r="D264" s="36">
        <v>18</v>
      </c>
      <c r="E264" s="36">
        <v>0.5</v>
      </c>
      <c r="F264" s="36">
        <f>E264*D264</f>
        <v>9</v>
      </c>
    </row>
    <row r="265" spans="1:6" s="39" customFormat="1" ht="15" thickBot="1">
      <c r="A265" s="36" t="s">
        <v>34</v>
      </c>
      <c r="B265" s="37" t="s">
        <v>376</v>
      </c>
      <c r="C265" s="36" t="s">
        <v>34</v>
      </c>
      <c r="D265" s="36" t="s">
        <v>34</v>
      </c>
      <c r="E265" s="36" t="s">
        <v>370</v>
      </c>
      <c r="F265" s="36"/>
    </row>
    <row r="266" spans="1:6" s="39" customFormat="1" ht="15" thickBot="1">
      <c r="A266" s="36" t="s">
        <v>34</v>
      </c>
      <c r="B266" s="36" t="s">
        <v>377</v>
      </c>
      <c r="C266" s="36" t="s">
        <v>34</v>
      </c>
      <c r="D266" s="36">
        <v>1</v>
      </c>
      <c r="E266" s="36">
        <v>150</v>
      </c>
      <c r="F266" s="36">
        <f t="shared" ref="F266:F273" si="9">E266*D266</f>
        <v>150</v>
      </c>
    </row>
    <row r="267" spans="1:6" s="39" customFormat="1" ht="15" thickBot="1">
      <c r="A267" s="36" t="s">
        <v>34</v>
      </c>
      <c r="B267" s="36" t="s">
        <v>378</v>
      </c>
      <c r="C267" s="36" t="s">
        <v>34</v>
      </c>
      <c r="D267" s="36">
        <v>1</v>
      </c>
      <c r="E267" s="36">
        <v>50</v>
      </c>
      <c r="F267" s="36">
        <f t="shared" si="9"/>
        <v>50</v>
      </c>
    </row>
    <row r="268" spans="1:6" s="39" customFormat="1" ht="15" thickBot="1">
      <c r="A268" s="36">
        <v>4.5199999999999996</v>
      </c>
      <c r="B268" s="36" t="s">
        <v>379</v>
      </c>
      <c r="C268" s="36" t="s">
        <v>50</v>
      </c>
      <c r="D268" s="36">
        <v>274</v>
      </c>
      <c r="E268" s="36">
        <v>1.5</v>
      </c>
      <c r="F268" s="36">
        <f t="shared" si="9"/>
        <v>411</v>
      </c>
    </row>
    <row r="269" spans="1:6" s="39" customFormat="1" ht="15" thickBot="1">
      <c r="A269" s="36">
        <v>4.54</v>
      </c>
      <c r="B269" s="36" t="s">
        <v>380</v>
      </c>
      <c r="C269" s="36" t="s">
        <v>50</v>
      </c>
      <c r="D269" s="36">
        <v>186</v>
      </c>
      <c r="E269" s="36">
        <v>1.5</v>
      </c>
      <c r="F269" s="36">
        <f t="shared" si="9"/>
        <v>279</v>
      </c>
    </row>
    <row r="270" spans="1:6" s="39" customFormat="1" ht="15" thickBot="1">
      <c r="A270" s="36">
        <v>4.55</v>
      </c>
      <c r="B270" s="36" t="s">
        <v>381</v>
      </c>
      <c r="C270" s="36" t="s">
        <v>50</v>
      </c>
      <c r="D270" s="36">
        <v>23</v>
      </c>
      <c r="E270" s="36">
        <v>2.5</v>
      </c>
      <c r="F270" s="36">
        <f t="shared" si="9"/>
        <v>57.5</v>
      </c>
    </row>
    <row r="271" spans="1:6" s="39" customFormat="1" ht="15" thickBot="1">
      <c r="A271" s="36">
        <v>4.5599999999999996</v>
      </c>
      <c r="B271" s="36" t="s">
        <v>382</v>
      </c>
      <c r="C271" s="36" t="s">
        <v>50</v>
      </c>
      <c r="D271" s="36">
        <v>22</v>
      </c>
      <c r="E271" s="36">
        <v>2.5</v>
      </c>
      <c r="F271" s="36">
        <f t="shared" si="9"/>
        <v>55</v>
      </c>
    </row>
    <row r="272" spans="1:6" s="39" customFormat="1" ht="15" thickBot="1">
      <c r="A272" s="36">
        <v>4.57</v>
      </c>
      <c r="B272" s="36" t="s">
        <v>383</v>
      </c>
      <c r="C272" s="36" t="s">
        <v>50</v>
      </c>
      <c r="D272" s="36">
        <v>22</v>
      </c>
      <c r="E272" s="36">
        <v>1.2</v>
      </c>
      <c r="F272" s="36">
        <f t="shared" si="9"/>
        <v>26.4</v>
      </c>
    </row>
    <row r="273" spans="1:6" s="39" customFormat="1" ht="15" thickBot="1">
      <c r="A273" s="36">
        <v>4.58</v>
      </c>
      <c r="B273" s="36" t="s">
        <v>384</v>
      </c>
      <c r="C273" s="36" t="s">
        <v>50</v>
      </c>
      <c r="D273" s="36">
        <v>12</v>
      </c>
      <c r="E273" s="36">
        <v>1.5</v>
      </c>
      <c r="F273" s="36">
        <f t="shared" si="9"/>
        <v>18</v>
      </c>
    </row>
    <row r="274" spans="1:6" s="39" customFormat="1" ht="15" thickBot="1">
      <c r="A274" s="36" t="s">
        <v>34</v>
      </c>
      <c r="B274" s="36" t="s">
        <v>385</v>
      </c>
      <c r="C274" s="36" t="s">
        <v>34</v>
      </c>
      <c r="D274" s="36" t="s">
        <v>34</v>
      </c>
      <c r="E274" s="36" t="s">
        <v>370</v>
      </c>
      <c r="F274" s="36"/>
    </row>
    <row r="275" spans="1:6" s="39" customFormat="1" ht="15" thickBot="1">
      <c r="A275" s="36">
        <v>4.59</v>
      </c>
      <c r="B275" s="36" t="s">
        <v>386</v>
      </c>
      <c r="C275" s="36" t="s">
        <v>387</v>
      </c>
      <c r="D275" s="36">
        <v>25</v>
      </c>
      <c r="E275" s="36">
        <v>85</v>
      </c>
      <c r="F275" s="36">
        <f>E275*D275</f>
        <v>2125</v>
      </c>
    </row>
    <row r="276" spans="1:6" s="39" customFormat="1" ht="15" thickBot="1">
      <c r="A276" s="36" t="s">
        <v>34</v>
      </c>
      <c r="B276" s="37" t="s">
        <v>388</v>
      </c>
      <c r="C276" s="36" t="s">
        <v>34</v>
      </c>
      <c r="D276" s="36" t="s">
        <v>34</v>
      </c>
      <c r="E276" s="36" t="s">
        <v>370</v>
      </c>
      <c r="F276" s="36"/>
    </row>
    <row r="277" spans="1:6" s="39" customFormat="1" ht="15" thickBot="1">
      <c r="A277" s="36" t="s">
        <v>34</v>
      </c>
      <c r="B277" s="36" t="s">
        <v>389</v>
      </c>
      <c r="C277" s="36" t="s">
        <v>34</v>
      </c>
      <c r="D277" s="36" t="s">
        <v>34</v>
      </c>
      <c r="E277" s="36" t="s">
        <v>370</v>
      </c>
      <c r="F277" s="36"/>
    </row>
    <row r="278" spans="1:6" s="39" customFormat="1" ht="15" thickBot="1">
      <c r="A278" s="36">
        <v>4.5999999999999996</v>
      </c>
      <c r="B278" s="36" t="s">
        <v>390</v>
      </c>
      <c r="C278" s="36" t="s">
        <v>33</v>
      </c>
      <c r="D278" s="36">
        <v>14</v>
      </c>
      <c r="E278" s="36">
        <v>6</v>
      </c>
      <c r="F278" s="36">
        <f>E278*D278</f>
        <v>84</v>
      </c>
    </row>
    <row r="279" spans="1:6" s="39" customFormat="1" ht="15" thickBot="1">
      <c r="A279" s="40">
        <v>4.6100000000000003</v>
      </c>
      <c r="B279" s="40" t="s">
        <v>391</v>
      </c>
      <c r="C279" s="40" t="s">
        <v>50</v>
      </c>
      <c r="D279" s="40">
        <v>41</v>
      </c>
      <c r="E279" s="40">
        <v>5</v>
      </c>
      <c r="F279" s="40">
        <f>E279*D279</f>
        <v>205</v>
      </c>
    </row>
    <row r="280" spans="1:6" s="39" customFormat="1" ht="15" thickBot="1">
      <c r="A280" s="36" t="s">
        <v>34</v>
      </c>
      <c r="B280" s="36" t="s">
        <v>392</v>
      </c>
      <c r="C280" s="36" t="s">
        <v>34</v>
      </c>
      <c r="D280" s="36" t="s">
        <v>34</v>
      </c>
      <c r="E280" s="36" t="s">
        <v>370</v>
      </c>
      <c r="F280" s="36"/>
    </row>
    <row r="281" spans="1:6" s="39" customFormat="1" ht="29.5" thickBot="1">
      <c r="A281" s="36">
        <v>4.62</v>
      </c>
      <c r="B281" s="36" t="s">
        <v>393</v>
      </c>
      <c r="C281" s="36" t="s">
        <v>33</v>
      </c>
      <c r="D281" s="36">
        <v>14</v>
      </c>
      <c r="E281" s="36">
        <v>5</v>
      </c>
      <c r="F281" s="36">
        <f>E281*D281</f>
        <v>70</v>
      </c>
    </row>
    <row r="282" spans="1:6" s="39" customFormat="1" ht="29.5" thickBot="1">
      <c r="A282" s="40">
        <v>4.63</v>
      </c>
      <c r="B282" s="40" t="s">
        <v>394</v>
      </c>
      <c r="C282" s="40" t="s">
        <v>50</v>
      </c>
      <c r="D282" s="40">
        <f>D281</f>
        <v>14</v>
      </c>
      <c r="E282" s="40">
        <v>5</v>
      </c>
      <c r="F282" s="40">
        <f>E282*D282</f>
        <v>70</v>
      </c>
    </row>
    <row r="283" spans="1:6" s="39" customFormat="1" ht="15" thickBot="1">
      <c r="A283" s="36" t="s">
        <v>34</v>
      </c>
      <c r="B283" s="37" t="s">
        <v>395</v>
      </c>
      <c r="C283" s="36" t="s">
        <v>34</v>
      </c>
      <c r="D283" s="36" t="s">
        <v>34</v>
      </c>
      <c r="E283" s="36" t="s">
        <v>370</v>
      </c>
      <c r="F283" s="36"/>
    </row>
    <row r="284" spans="1:6" s="39" customFormat="1" ht="29.5" thickBot="1">
      <c r="A284" s="40">
        <v>4.6399999999999997</v>
      </c>
      <c r="B284" s="40" t="s">
        <v>396</v>
      </c>
      <c r="C284" s="40" t="s">
        <v>50</v>
      </c>
      <c r="D284" s="40">
        <v>18</v>
      </c>
      <c r="E284" s="40">
        <v>6</v>
      </c>
      <c r="F284" s="40">
        <f>E284*D284</f>
        <v>108</v>
      </c>
    </row>
    <row r="285" spans="1:6" s="39" customFormat="1" ht="15" thickBot="1">
      <c r="A285" s="36" t="s">
        <v>34</v>
      </c>
      <c r="B285" s="37" t="s">
        <v>397</v>
      </c>
      <c r="C285" s="36" t="s">
        <v>34</v>
      </c>
      <c r="D285" s="36" t="s">
        <v>34</v>
      </c>
      <c r="E285" s="36" t="s">
        <v>370</v>
      </c>
      <c r="F285" s="36"/>
    </row>
    <row r="286" spans="1:6" s="39" customFormat="1" ht="29.5" thickBot="1">
      <c r="A286" s="36">
        <v>4.6500000000000004</v>
      </c>
      <c r="B286" s="36" t="s">
        <v>398</v>
      </c>
      <c r="C286" s="36" t="s">
        <v>50</v>
      </c>
      <c r="D286" s="36">
        <v>5</v>
      </c>
      <c r="E286" s="36">
        <v>2.5</v>
      </c>
      <c r="F286" s="36">
        <f>E286*D286</f>
        <v>12.5</v>
      </c>
    </row>
    <row r="287" spans="1:6" s="39" customFormat="1" ht="15" thickBot="1">
      <c r="A287" s="36">
        <v>4.66</v>
      </c>
      <c r="B287" s="36" t="s">
        <v>399</v>
      </c>
      <c r="C287" s="36" t="s">
        <v>387</v>
      </c>
      <c r="D287" s="36">
        <v>4</v>
      </c>
      <c r="E287" s="36">
        <v>5</v>
      </c>
      <c r="F287" s="36">
        <f>E287*D287</f>
        <v>20</v>
      </c>
    </row>
    <row r="288" spans="1:6" s="39" customFormat="1" ht="15" thickBot="1">
      <c r="A288" s="36">
        <v>4.67</v>
      </c>
      <c r="B288" s="36" t="s">
        <v>400</v>
      </c>
      <c r="C288" s="36" t="s">
        <v>387</v>
      </c>
      <c r="D288" s="36">
        <v>4</v>
      </c>
      <c r="E288" s="36">
        <v>5</v>
      </c>
      <c r="F288" s="36">
        <f>E288*D288</f>
        <v>20</v>
      </c>
    </row>
    <row r="289" spans="1:6" s="39" customFormat="1" ht="15" thickBot="1">
      <c r="A289" s="36">
        <v>4.68</v>
      </c>
      <c r="B289" s="36" t="s">
        <v>401</v>
      </c>
      <c r="C289" s="36" t="s">
        <v>34</v>
      </c>
      <c r="D289" s="36" t="s">
        <v>34</v>
      </c>
      <c r="E289" s="36" t="s">
        <v>370</v>
      </c>
      <c r="F289" s="36"/>
    </row>
    <row r="290" spans="1:6" s="39" customFormat="1" ht="15" thickBot="1">
      <c r="A290" s="40">
        <v>4.6900000000000004</v>
      </c>
      <c r="B290" s="40" t="s">
        <v>402</v>
      </c>
      <c r="C290" s="40" t="s">
        <v>50</v>
      </c>
      <c r="D290" s="40">
        <f>D279</f>
        <v>41</v>
      </c>
      <c r="E290" s="40">
        <v>5</v>
      </c>
      <c r="F290" s="40">
        <f>E290*D290</f>
        <v>205</v>
      </c>
    </row>
    <row r="291" spans="1:6" s="39" customFormat="1" ht="15" thickBot="1">
      <c r="A291" s="40">
        <v>4.7</v>
      </c>
      <c r="B291" s="40" t="s">
        <v>403</v>
      </c>
      <c r="C291" s="40" t="s">
        <v>33</v>
      </c>
      <c r="D291" s="40">
        <v>0</v>
      </c>
      <c r="E291" s="40">
        <v>20</v>
      </c>
      <c r="F291" s="40">
        <f>E291*D291</f>
        <v>0</v>
      </c>
    </row>
    <row r="292" spans="1:6" s="39" customFormat="1" ht="15" thickBot="1">
      <c r="A292" s="40">
        <v>4.71</v>
      </c>
      <c r="B292" s="40" t="s">
        <v>404</v>
      </c>
      <c r="C292" s="40" t="s">
        <v>33</v>
      </c>
      <c r="D292" s="40">
        <v>0</v>
      </c>
      <c r="E292" s="40">
        <v>5</v>
      </c>
      <c r="F292" s="40">
        <f>E292*D292</f>
        <v>0</v>
      </c>
    </row>
    <row r="293" spans="1:6">
      <c r="A293" s="21"/>
      <c r="B293" s="78" t="s">
        <v>248</v>
      </c>
      <c r="C293" s="20"/>
      <c r="D293" s="14"/>
      <c r="E293" s="20"/>
      <c r="F293" s="16">
        <f t="shared" ref="F293:F318" si="10">D293*E293</f>
        <v>0</v>
      </c>
    </row>
    <row r="294" spans="1:6">
      <c r="A294" s="21"/>
      <c r="B294" s="77"/>
      <c r="C294" s="20"/>
      <c r="D294" s="14"/>
      <c r="E294" s="20"/>
      <c r="F294" s="16">
        <f t="shared" si="10"/>
        <v>0</v>
      </c>
    </row>
    <row r="295" spans="1:6">
      <c r="A295" s="21"/>
      <c r="B295" s="78" t="s">
        <v>249</v>
      </c>
      <c r="C295" s="20"/>
      <c r="D295" s="14"/>
      <c r="E295" s="20"/>
      <c r="F295" s="16">
        <f t="shared" si="10"/>
        <v>0</v>
      </c>
    </row>
    <row r="296" spans="1:6" ht="29">
      <c r="A296" s="21"/>
      <c r="B296" s="78" t="s">
        <v>250</v>
      </c>
      <c r="C296" s="20"/>
      <c r="D296" s="14"/>
      <c r="E296" s="20"/>
      <c r="F296" s="16">
        <f t="shared" si="10"/>
        <v>0</v>
      </c>
    </row>
    <row r="297" spans="1:6">
      <c r="A297" s="21"/>
      <c r="B297" s="78" t="s">
        <v>251</v>
      </c>
      <c r="C297" s="20"/>
      <c r="D297" s="14"/>
      <c r="E297" s="20"/>
      <c r="F297" s="16">
        <f t="shared" si="10"/>
        <v>0</v>
      </c>
    </row>
    <row r="298" spans="1:6">
      <c r="A298" s="21"/>
      <c r="B298" s="77"/>
      <c r="C298" s="20"/>
      <c r="D298" s="14"/>
      <c r="E298" s="20"/>
      <c r="F298" s="16">
        <f t="shared" si="10"/>
        <v>0</v>
      </c>
    </row>
    <row r="299" spans="1:6" ht="29">
      <c r="A299" s="21" t="s">
        <v>13</v>
      </c>
      <c r="B299" s="77" t="s">
        <v>416</v>
      </c>
      <c r="C299" s="22" t="s">
        <v>408</v>
      </c>
      <c r="D299" s="14">
        <f>1038-105</f>
        <v>933</v>
      </c>
      <c r="E299" s="20">
        <v>15</v>
      </c>
      <c r="F299" s="16">
        <f t="shared" si="10"/>
        <v>13995</v>
      </c>
    </row>
    <row r="300" spans="1:6">
      <c r="A300" s="21"/>
      <c r="B300" s="77"/>
      <c r="C300" s="20"/>
      <c r="D300" s="14"/>
      <c r="E300" s="20"/>
      <c r="F300" s="16">
        <f t="shared" si="10"/>
        <v>0</v>
      </c>
    </row>
    <row r="301" spans="1:6" ht="29">
      <c r="A301" s="21" t="s">
        <v>3</v>
      </c>
      <c r="B301" s="77" t="s">
        <v>252</v>
      </c>
      <c r="C301" s="20" t="s">
        <v>5</v>
      </c>
      <c r="D301" s="14">
        <v>20</v>
      </c>
      <c r="E301" s="20">
        <v>10</v>
      </c>
      <c r="F301" s="16">
        <f t="shared" si="10"/>
        <v>200</v>
      </c>
    </row>
    <row r="302" spans="1:6">
      <c r="A302" s="21"/>
      <c r="B302" s="77"/>
      <c r="C302" s="20"/>
      <c r="D302" s="14"/>
      <c r="E302" s="20"/>
      <c r="F302" s="16">
        <f t="shared" si="10"/>
        <v>0</v>
      </c>
    </row>
    <row r="303" spans="1:6">
      <c r="A303" s="21"/>
      <c r="B303" s="78" t="s">
        <v>187</v>
      </c>
      <c r="C303" s="34"/>
      <c r="D303" s="14"/>
      <c r="E303" s="41"/>
      <c r="F303" s="16">
        <f t="shared" si="10"/>
        <v>0</v>
      </c>
    </row>
    <row r="304" spans="1:6">
      <c r="A304" s="21"/>
      <c r="B304" s="79"/>
      <c r="C304" s="34"/>
      <c r="D304" s="14"/>
      <c r="E304" s="41"/>
      <c r="F304" s="16">
        <f t="shared" si="10"/>
        <v>0</v>
      </c>
    </row>
    <row r="305" spans="1:6">
      <c r="A305" s="21" t="s">
        <v>6</v>
      </c>
      <c r="B305" s="77" t="s">
        <v>324</v>
      </c>
      <c r="C305" s="34" t="s">
        <v>33</v>
      </c>
      <c r="D305" s="14">
        <v>40</v>
      </c>
      <c r="E305" s="20">
        <v>5</v>
      </c>
      <c r="F305" s="16">
        <f t="shared" si="10"/>
        <v>200</v>
      </c>
    </row>
    <row r="306" spans="1:6">
      <c r="A306" s="21"/>
      <c r="B306" s="79"/>
      <c r="C306" s="34"/>
      <c r="D306" s="14"/>
      <c r="E306" s="41"/>
      <c r="F306" s="16">
        <f t="shared" si="10"/>
        <v>0</v>
      </c>
    </row>
    <row r="307" spans="1:6">
      <c r="A307" s="21" t="s">
        <v>7</v>
      </c>
      <c r="B307" s="77" t="s">
        <v>325</v>
      </c>
      <c r="C307" s="34" t="s">
        <v>33</v>
      </c>
      <c r="D307" s="14">
        <f>D299</f>
        <v>933</v>
      </c>
      <c r="E307" s="20">
        <v>5</v>
      </c>
      <c r="F307" s="16">
        <f t="shared" si="10"/>
        <v>4665</v>
      </c>
    </row>
    <row r="308" spans="1:6">
      <c r="A308" s="21"/>
      <c r="B308" s="77" t="s">
        <v>326</v>
      </c>
      <c r="C308" s="34"/>
      <c r="D308" s="14"/>
      <c r="E308" s="41"/>
      <c r="F308" s="16">
        <f t="shared" si="10"/>
        <v>0</v>
      </c>
    </row>
    <row r="309" spans="1:6">
      <c r="A309" s="21"/>
      <c r="B309" s="77"/>
      <c r="C309" s="34"/>
      <c r="D309" s="14"/>
      <c r="E309" s="41"/>
      <c r="F309" s="16">
        <f t="shared" si="10"/>
        <v>0</v>
      </c>
    </row>
    <row r="310" spans="1:6">
      <c r="A310" s="21" t="s">
        <v>8</v>
      </c>
      <c r="B310" s="77" t="s">
        <v>327</v>
      </c>
      <c r="C310" s="34" t="s">
        <v>50</v>
      </c>
      <c r="D310" s="14">
        <v>140</v>
      </c>
      <c r="E310" s="20">
        <v>5</v>
      </c>
      <c r="F310" s="16">
        <f t="shared" si="10"/>
        <v>700</v>
      </c>
    </row>
    <row r="311" spans="1:6">
      <c r="A311" s="21"/>
      <c r="B311" s="77"/>
      <c r="C311" s="20"/>
      <c r="D311" s="14"/>
      <c r="E311" s="20"/>
      <c r="F311" s="16">
        <f t="shared" si="10"/>
        <v>0</v>
      </c>
    </row>
    <row r="312" spans="1:6" s="44" customFormat="1">
      <c r="A312" s="42"/>
      <c r="B312" s="78" t="s">
        <v>253</v>
      </c>
      <c r="C312" s="34"/>
      <c r="D312" s="14"/>
      <c r="E312" s="43"/>
      <c r="F312" s="16">
        <f t="shared" si="10"/>
        <v>0</v>
      </c>
    </row>
    <row r="313" spans="1:6" s="44" customFormat="1">
      <c r="A313" s="21"/>
      <c r="B313" s="78"/>
      <c r="C313" s="34"/>
      <c r="D313" s="14"/>
      <c r="E313" s="43"/>
      <c r="F313" s="16">
        <f t="shared" si="10"/>
        <v>0</v>
      </c>
    </row>
    <row r="314" spans="1:6" s="44" customFormat="1" ht="29">
      <c r="A314" s="21" t="s">
        <v>10</v>
      </c>
      <c r="B314" s="84" t="s">
        <v>336</v>
      </c>
      <c r="C314" s="34"/>
      <c r="D314" s="14"/>
      <c r="E314" s="43"/>
      <c r="F314" s="16">
        <f t="shared" si="10"/>
        <v>0</v>
      </c>
    </row>
    <row r="315" spans="1:6" s="44" customFormat="1">
      <c r="A315" s="21"/>
      <c r="B315" s="77" t="s">
        <v>254</v>
      </c>
      <c r="C315" s="34" t="s">
        <v>5</v>
      </c>
      <c r="D315" s="45">
        <v>30</v>
      </c>
      <c r="E315" s="43">
        <v>8</v>
      </c>
      <c r="F315" s="16">
        <f t="shared" si="10"/>
        <v>240</v>
      </c>
    </row>
    <row r="316" spans="1:6" s="44" customFormat="1">
      <c r="A316" s="21"/>
      <c r="B316" s="84"/>
      <c r="C316" s="34"/>
      <c r="D316" s="45"/>
      <c r="E316" s="43"/>
      <c r="F316" s="16">
        <f t="shared" si="10"/>
        <v>0</v>
      </c>
    </row>
    <row r="317" spans="1:6" s="44" customFormat="1">
      <c r="A317" s="21" t="s">
        <v>14</v>
      </c>
      <c r="B317" s="77" t="s">
        <v>255</v>
      </c>
      <c r="C317" s="34" t="s">
        <v>5</v>
      </c>
      <c r="D317" s="45">
        <v>1</v>
      </c>
      <c r="E317" s="43">
        <v>120</v>
      </c>
      <c r="F317" s="16">
        <f t="shared" si="10"/>
        <v>120</v>
      </c>
    </row>
    <row r="318" spans="1:6" s="44" customFormat="1" ht="17" customHeight="1">
      <c r="A318" s="42"/>
      <c r="B318" s="77"/>
      <c r="C318" s="34"/>
      <c r="D318" s="45"/>
      <c r="E318" s="43"/>
      <c r="F318" s="16">
        <f t="shared" si="10"/>
        <v>0</v>
      </c>
    </row>
    <row r="319" spans="1:6" s="49" customFormat="1">
      <c r="A319" s="47"/>
      <c r="B319" s="47" t="s">
        <v>417</v>
      </c>
      <c r="C319" s="47"/>
      <c r="D319" s="47"/>
      <c r="E319" s="47"/>
      <c r="F319" s="48">
        <f>SUM(F263:F318)</f>
        <v>24395.4</v>
      </c>
    </row>
    <row r="320" spans="1:6">
      <c r="A320" s="21"/>
      <c r="B320" s="74" t="s">
        <v>18</v>
      </c>
      <c r="C320" s="20"/>
      <c r="D320" s="14"/>
      <c r="E320" s="20"/>
      <c r="F320" s="16">
        <f t="shared" ref="F320:F364" si="11">D320*E320</f>
        <v>0</v>
      </c>
    </row>
    <row r="321" spans="1:6">
      <c r="A321" s="21"/>
      <c r="B321" s="79"/>
      <c r="C321" s="20"/>
      <c r="D321" s="14"/>
      <c r="E321" s="20"/>
      <c r="F321" s="16">
        <f t="shared" si="11"/>
        <v>0</v>
      </c>
    </row>
    <row r="322" spans="1:6">
      <c r="A322" s="21"/>
      <c r="B322" s="78" t="s">
        <v>58</v>
      </c>
      <c r="C322" s="20"/>
      <c r="D322" s="14"/>
      <c r="E322" s="20"/>
      <c r="F322" s="16">
        <f t="shared" si="11"/>
        <v>0</v>
      </c>
    </row>
    <row r="323" spans="1:6">
      <c r="A323" s="21"/>
      <c r="B323" s="79"/>
      <c r="C323" s="20"/>
      <c r="D323" s="14"/>
      <c r="E323" s="20"/>
      <c r="F323" s="16">
        <f t="shared" si="11"/>
        <v>0</v>
      </c>
    </row>
    <row r="324" spans="1:6">
      <c r="A324" s="21" t="s">
        <v>13</v>
      </c>
      <c r="B324" s="77" t="s">
        <v>256</v>
      </c>
      <c r="C324" s="20"/>
      <c r="D324" s="14"/>
      <c r="E324" s="20"/>
      <c r="F324" s="16">
        <f t="shared" si="11"/>
        <v>0</v>
      </c>
    </row>
    <row r="325" spans="1:6" ht="16.5">
      <c r="A325" s="21"/>
      <c r="B325" s="77" t="s">
        <v>257</v>
      </c>
      <c r="C325" s="22" t="s">
        <v>408</v>
      </c>
      <c r="D325" s="14">
        <v>1425</v>
      </c>
      <c r="E325" s="20">
        <v>4</v>
      </c>
      <c r="F325" s="16">
        <f t="shared" si="11"/>
        <v>5700</v>
      </c>
    </row>
    <row r="326" spans="1:6">
      <c r="A326" s="21"/>
      <c r="B326" s="77"/>
      <c r="C326" s="20"/>
      <c r="D326" s="14"/>
      <c r="E326" s="20"/>
      <c r="F326" s="16">
        <f t="shared" si="11"/>
        <v>0</v>
      </c>
    </row>
    <row r="327" spans="1:6">
      <c r="A327" s="21"/>
      <c r="B327" s="78" t="s">
        <v>187</v>
      </c>
      <c r="C327" s="20"/>
      <c r="D327" s="14"/>
      <c r="E327" s="20"/>
      <c r="F327" s="16">
        <f t="shared" si="11"/>
        <v>0</v>
      </c>
    </row>
    <row r="328" spans="1:6">
      <c r="A328" s="21"/>
      <c r="B328" s="77"/>
      <c r="C328" s="20"/>
      <c r="D328" s="14"/>
      <c r="E328" s="20"/>
      <c r="F328" s="16">
        <f t="shared" si="11"/>
        <v>0</v>
      </c>
    </row>
    <row r="329" spans="1:6" ht="29">
      <c r="A329" s="50"/>
      <c r="B329" s="78" t="s">
        <v>258</v>
      </c>
      <c r="C329" s="20"/>
      <c r="D329" s="14"/>
      <c r="E329" s="20"/>
      <c r="F329" s="16">
        <f t="shared" si="11"/>
        <v>0</v>
      </c>
    </row>
    <row r="330" spans="1:6" ht="29">
      <c r="A330" s="50"/>
      <c r="B330" s="78" t="s">
        <v>259</v>
      </c>
      <c r="C330" s="20"/>
      <c r="D330" s="14"/>
      <c r="E330" s="20"/>
      <c r="F330" s="16">
        <f t="shared" si="11"/>
        <v>0</v>
      </c>
    </row>
    <row r="331" spans="1:6">
      <c r="A331" s="50"/>
      <c r="B331" s="78" t="s">
        <v>348</v>
      </c>
      <c r="C331" s="20"/>
      <c r="D331" s="14"/>
      <c r="E331" s="20"/>
      <c r="F331" s="16">
        <f t="shared" si="11"/>
        <v>0</v>
      </c>
    </row>
    <row r="332" spans="1:6" ht="29">
      <c r="A332" s="50"/>
      <c r="B332" s="78" t="s">
        <v>260</v>
      </c>
      <c r="C332" s="20"/>
      <c r="D332" s="14"/>
      <c r="E332" s="20"/>
      <c r="F332" s="16">
        <f t="shared" si="11"/>
        <v>0</v>
      </c>
    </row>
    <row r="333" spans="1:6">
      <c r="A333" s="50"/>
      <c r="B333" s="78" t="s">
        <v>347</v>
      </c>
      <c r="C333" s="20"/>
      <c r="D333" s="14"/>
      <c r="E333" s="20"/>
      <c r="F333" s="16">
        <f t="shared" si="11"/>
        <v>0</v>
      </c>
    </row>
    <row r="334" spans="1:6">
      <c r="A334" s="50"/>
      <c r="B334" s="77"/>
      <c r="C334" s="20"/>
      <c r="D334" s="14"/>
      <c r="E334" s="20"/>
      <c r="F334" s="16">
        <f t="shared" si="11"/>
        <v>0</v>
      </c>
    </row>
    <row r="335" spans="1:6" ht="15" customHeight="1">
      <c r="A335" s="21" t="s">
        <v>6</v>
      </c>
      <c r="B335" s="77" t="s">
        <v>261</v>
      </c>
      <c r="C335" s="22" t="s">
        <v>408</v>
      </c>
      <c r="D335" s="14">
        <f>1425</f>
        <v>1425</v>
      </c>
      <c r="E335" s="20">
        <v>13</v>
      </c>
      <c r="F335" s="16">
        <f t="shared" si="11"/>
        <v>18525</v>
      </c>
    </row>
    <row r="336" spans="1:6">
      <c r="A336" s="21"/>
      <c r="B336" s="77"/>
      <c r="C336" s="20"/>
      <c r="D336" s="14"/>
      <c r="E336" s="20"/>
      <c r="F336" s="16">
        <f t="shared" si="11"/>
        <v>0</v>
      </c>
    </row>
    <row r="337" spans="1:6" ht="15" customHeight="1">
      <c r="A337" s="21" t="s">
        <v>7</v>
      </c>
      <c r="B337" s="78" t="s">
        <v>262</v>
      </c>
      <c r="C337" s="14"/>
      <c r="D337" s="14"/>
      <c r="E337" s="18"/>
      <c r="F337" s="16">
        <f t="shared" si="11"/>
        <v>0</v>
      </c>
    </row>
    <row r="338" spans="1:6" ht="15" customHeight="1">
      <c r="A338" s="21"/>
      <c r="B338" s="77" t="s">
        <v>263</v>
      </c>
      <c r="C338" s="13"/>
      <c r="D338" s="14"/>
      <c r="E338" s="18"/>
      <c r="F338" s="16">
        <f t="shared" si="11"/>
        <v>0</v>
      </c>
    </row>
    <row r="339" spans="1:6" ht="15" customHeight="1">
      <c r="A339" s="21"/>
      <c r="B339" s="77" t="s">
        <v>264</v>
      </c>
      <c r="C339" s="22" t="s">
        <v>408</v>
      </c>
      <c r="D339" s="14">
        <f>670*0.1</f>
        <v>67</v>
      </c>
      <c r="E339" s="20">
        <v>13</v>
      </c>
      <c r="F339" s="16">
        <f t="shared" si="11"/>
        <v>871</v>
      </c>
    </row>
    <row r="340" spans="1:6" ht="15" customHeight="1">
      <c r="A340" s="21"/>
      <c r="B340" s="77"/>
      <c r="C340" s="20"/>
      <c r="D340" s="14"/>
      <c r="E340" s="20"/>
      <c r="F340" s="16">
        <f t="shared" si="11"/>
        <v>0</v>
      </c>
    </row>
    <row r="341" spans="1:6" ht="15" customHeight="1">
      <c r="A341" s="21"/>
      <c r="B341" s="77"/>
      <c r="C341" s="20"/>
      <c r="D341" s="14"/>
      <c r="E341" s="20"/>
      <c r="F341" s="16">
        <f t="shared" si="11"/>
        <v>0</v>
      </c>
    </row>
    <row r="342" spans="1:6" ht="15" customHeight="1">
      <c r="A342" s="21" t="s">
        <v>8</v>
      </c>
      <c r="B342" s="77" t="s">
        <v>265</v>
      </c>
      <c r="C342" s="22" t="s">
        <v>408</v>
      </c>
      <c r="D342" s="26">
        <f>196*0.15</f>
        <v>29.4</v>
      </c>
      <c r="E342" s="20">
        <v>13</v>
      </c>
      <c r="F342" s="16">
        <f t="shared" si="11"/>
        <v>382.2</v>
      </c>
    </row>
    <row r="343" spans="1:6">
      <c r="A343" s="21"/>
      <c r="B343" s="85"/>
      <c r="C343" s="20"/>
      <c r="D343" s="14"/>
      <c r="E343" s="20"/>
      <c r="F343" s="16">
        <f t="shared" si="11"/>
        <v>0</v>
      </c>
    </row>
    <row r="344" spans="1:6">
      <c r="A344" s="21"/>
      <c r="B344" s="78" t="s">
        <v>266</v>
      </c>
      <c r="C344" s="20"/>
      <c r="D344" s="14"/>
      <c r="E344" s="20"/>
      <c r="F344" s="16">
        <f t="shared" si="11"/>
        <v>0</v>
      </c>
    </row>
    <row r="345" spans="1:6">
      <c r="A345" s="21"/>
      <c r="B345" s="85"/>
      <c r="C345" s="20"/>
      <c r="D345" s="14"/>
      <c r="E345" s="20"/>
      <c r="F345" s="16">
        <f t="shared" si="11"/>
        <v>0</v>
      </c>
    </row>
    <row r="346" spans="1:6">
      <c r="A346" s="21"/>
      <c r="B346" s="78" t="s">
        <v>55</v>
      </c>
      <c r="C346" s="20"/>
      <c r="D346" s="14"/>
      <c r="E346" s="20"/>
      <c r="F346" s="16">
        <f t="shared" si="11"/>
        <v>0</v>
      </c>
    </row>
    <row r="347" spans="1:6">
      <c r="A347" s="21"/>
      <c r="B347" s="78" t="s">
        <v>56</v>
      </c>
      <c r="C347" s="20"/>
      <c r="D347" s="14"/>
      <c r="E347" s="20"/>
      <c r="F347" s="16">
        <f t="shared" si="11"/>
        <v>0</v>
      </c>
    </row>
    <row r="348" spans="1:6">
      <c r="A348" s="21"/>
      <c r="B348" s="79"/>
      <c r="C348" s="20"/>
      <c r="D348" s="14"/>
      <c r="E348" s="20"/>
      <c r="F348" s="16">
        <f t="shared" si="11"/>
        <v>0</v>
      </c>
    </row>
    <row r="349" spans="1:6">
      <c r="A349" s="21" t="s">
        <v>10</v>
      </c>
      <c r="B349" s="77" t="s">
        <v>57</v>
      </c>
      <c r="C349" s="20"/>
      <c r="D349" s="14"/>
      <c r="E349" s="20"/>
      <c r="F349" s="16">
        <f t="shared" si="11"/>
        <v>0</v>
      </c>
    </row>
    <row r="350" spans="1:6" ht="16.5">
      <c r="A350" s="21"/>
      <c r="B350" s="77" t="s">
        <v>188</v>
      </c>
      <c r="C350" s="22" t="s">
        <v>408</v>
      </c>
      <c r="D350" s="14">
        <f>433*2*3</f>
        <v>2598</v>
      </c>
      <c r="E350" s="20">
        <v>3</v>
      </c>
      <c r="F350" s="16">
        <f t="shared" si="11"/>
        <v>7794</v>
      </c>
    </row>
    <row r="351" spans="1:6">
      <c r="A351" s="21"/>
      <c r="B351" s="77"/>
      <c r="C351" s="34"/>
      <c r="D351" s="14"/>
      <c r="E351" s="20"/>
      <c r="F351" s="16">
        <f t="shared" si="11"/>
        <v>0</v>
      </c>
    </row>
    <row r="352" spans="1:6" ht="29">
      <c r="A352" s="21"/>
      <c r="B352" s="78" t="s">
        <v>189</v>
      </c>
      <c r="C352" s="34"/>
      <c r="D352" s="14"/>
      <c r="E352" s="20"/>
      <c r="F352" s="16">
        <f t="shared" si="11"/>
        <v>0</v>
      </c>
    </row>
    <row r="353" spans="1:6">
      <c r="A353" s="21"/>
      <c r="B353" s="78" t="s">
        <v>190</v>
      </c>
      <c r="C353" s="34"/>
      <c r="D353" s="14"/>
      <c r="E353" s="20"/>
      <c r="F353" s="16">
        <f t="shared" si="11"/>
        <v>0</v>
      </c>
    </row>
    <row r="354" spans="1:6">
      <c r="A354" s="21"/>
      <c r="B354" s="77"/>
      <c r="C354" s="34"/>
      <c r="D354" s="14"/>
      <c r="E354" s="20"/>
      <c r="F354" s="16">
        <f t="shared" si="11"/>
        <v>0</v>
      </c>
    </row>
    <row r="355" spans="1:6" ht="16.5">
      <c r="A355" s="21" t="s">
        <v>14</v>
      </c>
      <c r="B355" s="77" t="s">
        <v>191</v>
      </c>
      <c r="C355" s="22" t="s">
        <v>408</v>
      </c>
      <c r="D355" s="14">
        <f>D350</f>
        <v>2598</v>
      </c>
      <c r="E355" s="20">
        <v>3</v>
      </c>
      <c r="F355" s="16">
        <f t="shared" si="11"/>
        <v>7794</v>
      </c>
    </row>
    <row r="356" spans="1:6">
      <c r="A356" s="21"/>
      <c r="B356" s="82"/>
      <c r="C356" s="34"/>
      <c r="D356" s="14"/>
      <c r="E356" s="20"/>
      <c r="F356" s="16">
        <f t="shared" si="11"/>
        <v>0</v>
      </c>
    </row>
    <row r="357" spans="1:6" ht="29">
      <c r="A357" s="21"/>
      <c r="B357" s="78" t="s">
        <v>287</v>
      </c>
      <c r="C357" s="34"/>
      <c r="D357" s="14"/>
      <c r="E357" s="20"/>
      <c r="F357" s="16">
        <f t="shared" si="11"/>
        <v>0</v>
      </c>
    </row>
    <row r="358" spans="1:6" ht="29">
      <c r="A358" s="21"/>
      <c r="B358" s="86" t="s">
        <v>288</v>
      </c>
      <c r="C358" s="34"/>
      <c r="D358" s="14"/>
      <c r="E358" s="20"/>
      <c r="F358" s="16">
        <f t="shared" si="11"/>
        <v>0</v>
      </c>
    </row>
    <row r="359" spans="1:6">
      <c r="A359" s="21"/>
      <c r="B359" s="78" t="s">
        <v>289</v>
      </c>
      <c r="C359" s="34"/>
      <c r="D359" s="14"/>
      <c r="E359" s="20"/>
      <c r="F359" s="16">
        <f t="shared" si="11"/>
        <v>0</v>
      </c>
    </row>
    <row r="360" spans="1:6">
      <c r="A360" s="21"/>
      <c r="B360" s="87"/>
      <c r="C360" s="34"/>
      <c r="D360" s="14"/>
      <c r="E360" s="20"/>
      <c r="F360" s="16">
        <f t="shared" si="11"/>
        <v>0</v>
      </c>
    </row>
    <row r="361" spans="1:6" ht="16.5">
      <c r="A361" s="21" t="s">
        <v>9</v>
      </c>
      <c r="B361" s="82" t="s">
        <v>192</v>
      </c>
      <c r="C361" s="22" t="s">
        <v>408</v>
      </c>
      <c r="D361" s="14">
        <f>D355</f>
        <v>2598</v>
      </c>
      <c r="E361" s="20">
        <v>3</v>
      </c>
      <c r="F361" s="16">
        <f t="shared" si="11"/>
        <v>7794</v>
      </c>
    </row>
    <row r="362" spans="1:6">
      <c r="A362" s="21"/>
      <c r="B362" s="82"/>
      <c r="C362" s="34"/>
      <c r="D362" s="14"/>
      <c r="E362" s="20"/>
      <c r="F362" s="16">
        <f t="shared" si="11"/>
        <v>0</v>
      </c>
    </row>
    <row r="363" spans="1:6" ht="16.5">
      <c r="A363" s="21" t="s">
        <v>11</v>
      </c>
      <c r="B363" s="82" t="s">
        <v>267</v>
      </c>
      <c r="C363" s="22" t="s">
        <v>408</v>
      </c>
      <c r="D363" s="14">
        <v>1038</v>
      </c>
      <c r="E363" s="20">
        <v>3</v>
      </c>
      <c r="F363" s="16">
        <f t="shared" si="11"/>
        <v>3114</v>
      </c>
    </row>
    <row r="364" spans="1:6">
      <c r="A364" s="21"/>
      <c r="B364" s="77"/>
      <c r="C364" s="20"/>
      <c r="D364" s="14"/>
      <c r="E364" s="20"/>
      <c r="F364" s="16">
        <f t="shared" si="11"/>
        <v>0</v>
      </c>
    </row>
    <row r="374" spans="1:6">
      <c r="A374" s="21"/>
      <c r="B374" s="77"/>
      <c r="C374" s="20"/>
      <c r="D374" s="14"/>
      <c r="E374" s="20"/>
      <c r="F374" s="16">
        <f>D374*E374</f>
        <v>0</v>
      </c>
    </row>
    <row r="375" spans="1:6">
      <c r="A375" s="21"/>
      <c r="B375" s="77"/>
      <c r="C375" s="20"/>
      <c r="D375" s="14"/>
      <c r="E375" s="20"/>
      <c r="F375" s="16">
        <f>D375*E375</f>
        <v>0</v>
      </c>
    </row>
    <row r="376" spans="1:6">
      <c r="A376" s="21"/>
      <c r="B376" s="77"/>
      <c r="C376" s="20"/>
      <c r="D376" s="14"/>
      <c r="E376" s="20"/>
      <c r="F376" s="16">
        <f>D376*E376</f>
        <v>0</v>
      </c>
    </row>
    <row r="377" spans="1:6">
      <c r="A377" s="21"/>
      <c r="B377" s="76" t="s">
        <v>147</v>
      </c>
      <c r="C377" s="24" t="s">
        <v>148</v>
      </c>
      <c r="D377" s="25"/>
      <c r="E377" s="25"/>
      <c r="F377" s="25">
        <f>SUM(F325:F376)</f>
        <v>51974.2</v>
      </c>
    </row>
    <row r="378" spans="1:6">
      <c r="A378" s="21"/>
      <c r="B378" s="88"/>
      <c r="C378" s="51"/>
      <c r="D378" s="14"/>
      <c r="E378" s="41"/>
      <c r="F378" s="16">
        <f t="shared" ref="F378:F390" si="12">D378*E378</f>
        <v>0</v>
      </c>
    </row>
    <row r="379" spans="1:6">
      <c r="A379" s="21"/>
      <c r="B379" s="88" t="str">
        <f>B7</f>
        <v>SECTION 2: MAIN BLOCK</v>
      </c>
      <c r="C379" s="51"/>
      <c r="D379" s="14"/>
      <c r="E379" s="41"/>
      <c r="F379" s="16">
        <f t="shared" si="12"/>
        <v>0</v>
      </c>
    </row>
    <row r="380" spans="1:6">
      <c r="A380" s="21"/>
      <c r="B380" s="88"/>
      <c r="C380" s="51"/>
      <c r="D380" s="14"/>
      <c r="E380" s="41"/>
      <c r="F380" s="16">
        <f t="shared" si="12"/>
        <v>0</v>
      </c>
    </row>
    <row r="381" spans="1:6">
      <c r="A381" s="21"/>
      <c r="B381" s="74" t="s">
        <v>268</v>
      </c>
      <c r="C381" s="51"/>
      <c r="D381" s="14"/>
      <c r="E381" s="41"/>
      <c r="F381" s="16">
        <f t="shared" si="12"/>
        <v>0</v>
      </c>
    </row>
    <row r="382" spans="1:6">
      <c r="A382" s="21"/>
      <c r="B382" s="74"/>
      <c r="C382" s="51"/>
      <c r="D382" s="14"/>
      <c r="E382" s="20"/>
      <c r="F382" s="16">
        <f t="shared" si="12"/>
        <v>0</v>
      </c>
    </row>
    <row r="383" spans="1:6">
      <c r="A383" s="21"/>
      <c r="B383" s="78" t="s">
        <v>193</v>
      </c>
      <c r="C383" s="20"/>
      <c r="D383" s="14"/>
      <c r="E383" s="20"/>
      <c r="F383" s="16">
        <f t="shared" si="12"/>
        <v>0</v>
      </c>
    </row>
    <row r="384" spans="1:6">
      <c r="A384" s="21"/>
      <c r="B384" s="89"/>
      <c r="C384" s="20"/>
      <c r="D384" s="14"/>
      <c r="E384" s="20"/>
      <c r="F384" s="16">
        <f t="shared" si="12"/>
        <v>0</v>
      </c>
    </row>
    <row r="385" spans="1:6" ht="29">
      <c r="A385" s="21"/>
      <c r="B385" s="78" t="s">
        <v>194</v>
      </c>
      <c r="C385" s="22"/>
      <c r="D385" s="14"/>
      <c r="E385" s="20"/>
      <c r="F385" s="16">
        <f t="shared" si="12"/>
        <v>0</v>
      </c>
    </row>
    <row r="386" spans="1:6" ht="29">
      <c r="A386" s="21"/>
      <c r="B386" s="78" t="s">
        <v>195</v>
      </c>
      <c r="C386" s="22"/>
      <c r="D386" s="14"/>
      <c r="E386" s="20"/>
      <c r="F386" s="16">
        <f t="shared" si="12"/>
        <v>0</v>
      </c>
    </row>
    <row r="387" spans="1:6">
      <c r="A387" s="21"/>
      <c r="B387" s="78" t="s">
        <v>196</v>
      </c>
      <c r="C387" s="22"/>
      <c r="D387" s="14"/>
      <c r="E387" s="20"/>
      <c r="F387" s="16">
        <f t="shared" si="12"/>
        <v>0</v>
      </c>
    </row>
    <row r="388" spans="1:6">
      <c r="A388" s="21"/>
      <c r="B388" s="90"/>
      <c r="C388" s="22"/>
      <c r="D388" s="14"/>
      <c r="E388" s="20"/>
      <c r="F388" s="16">
        <f t="shared" si="12"/>
        <v>0</v>
      </c>
    </row>
    <row r="389" spans="1:6">
      <c r="A389" s="21" t="s">
        <v>13</v>
      </c>
      <c r="B389" s="77" t="s">
        <v>339</v>
      </c>
      <c r="C389" s="22"/>
      <c r="D389" s="14"/>
      <c r="E389" s="20"/>
      <c r="F389" s="16">
        <f t="shared" si="12"/>
        <v>0</v>
      </c>
    </row>
    <row r="390" spans="1:6">
      <c r="A390" s="21"/>
      <c r="B390" s="77" t="s">
        <v>340</v>
      </c>
      <c r="C390" s="22" t="s">
        <v>5</v>
      </c>
      <c r="D390" s="20">
        <v>42</v>
      </c>
      <c r="E390" s="20">
        <v>20</v>
      </c>
      <c r="F390" s="52">
        <f t="shared" si="12"/>
        <v>840</v>
      </c>
    </row>
    <row r="391" spans="1:6">
      <c r="A391" s="21"/>
      <c r="B391" s="77"/>
      <c r="C391" s="22"/>
      <c r="D391" s="20"/>
      <c r="E391" s="20"/>
      <c r="F391" s="52"/>
    </row>
    <row r="392" spans="1:6">
      <c r="A392" s="21" t="s">
        <v>3</v>
      </c>
      <c r="B392" s="77" t="s">
        <v>338</v>
      </c>
      <c r="C392" s="22"/>
      <c r="D392" s="20"/>
      <c r="E392" s="20"/>
      <c r="F392" s="52"/>
    </row>
    <row r="393" spans="1:6">
      <c r="A393" s="21"/>
      <c r="B393" s="77" t="s">
        <v>340</v>
      </c>
      <c r="C393" s="22" t="s">
        <v>5</v>
      </c>
      <c r="D393" s="20">
        <v>14</v>
      </c>
      <c r="E393" s="20">
        <v>20</v>
      </c>
      <c r="F393" s="52">
        <f>D393*E393</f>
        <v>280</v>
      </c>
    </row>
    <row r="394" spans="1:6">
      <c r="A394" s="21"/>
      <c r="B394" s="77"/>
      <c r="C394" s="22"/>
      <c r="D394" s="20"/>
      <c r="E394" s="20"/>
      <c r="F394" s="52"/>
    </row>
    <row r="395" spans="1:6" ht="29">
      <c r="A395" s="21" t="s">
        <v>6</v>
      </c>
      <c r="B395" s="77" t="s">
        <v>285</v>
      </c>
      <c r="C395" s="22"/>
      <c r="D395" s="20"/>
      <c r="E395" s="20"/>
      <c r="F395" s="52"/>
    </row>
    <row r="396" spans="1:6">
      <c r="A396" s="21"/>
      <c r="B396" s="77" t="s">
        <v>286</v>
      </c>
      <c r="C396" s="22" t="s">
        <v>5</v>
      </c>
      <c r="D396" s="20">
        <v>8</v>
      </c>
      <c r="E396" s="20">
        <v>30</v>
      </c>
      <c r="F396" s="52">
        <f>D396*E396</f>
        <v>240</v>
      </c>
    </row>
    <row r="397" spans="1:6">
      <c r="A397" s="21"/>
      <c r="B397" s="90"/>
      <c r="C397" s="22"/>
      <c r="D397" s="20"/>
      <c r="E397" s="20"/>
      <c r="F397" s="52"/>
    </row>
    <row r="398" spans="1:6">
      <c r="A398" s="21" t="s">
        <v>7</v>
      </c>
      <c r="B398" s="77" t="s">
        <v>197</v>
      </c>
      <c r="C398" s="22" t="s">
        <v>5</v>
      </c>
      <c r="D398" s="20">
        <v>4</v>
      </c>
      <c r="E398" s="20">
        <v>50</v>
      </c>
      <c r="F398" s="52">
        <f>D398*E398</f>
        <v>200</v>
      </c>
    </row>
    <row r="399" spans="1:6">
      <c r="A399" s="21"/>
      <c r="B399" s="90"/>
      <c r="C399" s="22"/>
      <c r="D399" s="20"/>
      <c r="E399" s="20"/>
      <c r="F399" s="52"/>
    </row>
    <row r="400" spans="1:6">
      <c r="A400" s="21"/>
      <c r="B400" s="78" t="s">
        <v>198</v>
      </c>
      <c r="C400" s="22"/>
      <c r="D400" s="20"/>
      <c r="E400" s="20"/>
      <c r="F400" s="52"/>
    </row>
    <row r="401" spans="1:6">
      <c r="A401" s="21"/>
      <c r="B401" s="89"/>
      <c r="C401" s="22"/>
      <c r="D401" s="20"/>
      <c r="E401" s="20"/>
      <c r="F401" s="52"/>
    </row>
    <row r="402" spans="1:6">
      <c r="A402" s="21" t="s">
        <v>8</v>
      </c>
      <c r="B402" s="77" t="s">
        <v>269</v>
      </c>
      <c r="C402" s="22" t="s">
        <v>12</v>
      </c>
      <c r="D402" s="20">
        <v>24</v>
      </c>
      <c r="E402" s="20">
        <v>10</v>
      </c>
      <c r="F402" s="52">
        <f>D402*E402</f>
        <v>240</v>
      </c>
    </row>
    <row r="403" spans="1:6">
      <c r="A403" s="21"/>
      <c r="B403" s="77"/>
      <c r="C403" s="22"/>
      <c r="D403" s="20"/>
      <c r="E403" s="20"/>
      <c r="F403" s="52"/>
    </row>
    <row r="404" spans="1:6">
      <c r="A404" s="21" t="s">
        <v>10</v>
      </c>
      <c r="B404" s="77" t="s">
        <v>270</v>
      </c>
      <c r="C404" s="22" t="s">
        <v>12</v>
      </c>
      <c r="D404" s="20">
        <v>8</v>
      </c>
      <c r="E404" s="20">
        <v>10</v>
      </c>
      <c r="F404" s="52">
        <f t="shared" ref="F404:F414" si="13">D404*E404</f>
        <v>80</v>
      </c>
    </row>
    <row r="405" spans="1:6">
      <c r="A405" s="21"/>
      <c r="B405" s="89"/>
      <c r="C405" s="20"/>
      <c r="D405" s="14"/>
      <c r="E405" s="20"/>
      <c r="F405" s="16">
        <f t="shared" si="13"/>
        <v>0</v>
      </c>
    </row>
    <row r="406" spans="1:6">
      <c r="A406" s="21"/>
      <c r="B406" s="78" t="s">
        <v>199</v>
      </c>
      <c r="C406" s="20"/>
      <c r="D406" s="14"/>
      <c r="E406" s="20"/>
      <c r="F406" s="16">
        <f t="shared" si="13"/>
        <v>0</v>
      </c>
    </row>
    <row r="407" spans="1:6">
      <c r="A407" s="21"/>
      <c r="B407" s="90"/>
      <c r="C407" s="20"/>
      <c r="D407" s="14"/>
      <c r="E407" s="20"/>
      <c r="F407" s="16">
        <f t="shared" si="13"/>
        <v>0</v>
      </c>
    </row>
    <row r="408" spans="1:6" ht="29">
      <c r="A408" s="21"/>
      <c r="B408" s="77" t="s">
        <v>200</v>
      </c>
      <c r="C408" s="22"/>
      <c r="D408" s="14"/>
      <c r="E408" s="20"/>
      <c r="F408" s="16">
        <f t="shared" si="13"/>
        <v>0</v>
      </c>
    </row>
    <row r="409" spans="1:6" ht="29">
      <c r="A409" s="21"/>
      <c r="B409" s="77" t="s">
        <v>201</v>
      </c>
      <c r="C409" s="22"/>
      <c r="D409" s="14"/>
      <c r="E409" s="20"/>
      <c r="F409" s="16">
        <f t="shared" si="13"/>
        <v>0</v>
      </c>
    </row>
    <row r="410" spans="1:6" ht="29">
      <c r="A410" s="21"/>
      <c r="B410" s="77" t="s">
        <v>202</v>
      </c>
      <c r="C410" s="22"/>
      <c r="D410" s="14"/>
      <c r="E410" s="20"/>
      <c r="F410" s="16">
        <f t="shared" si="13"/>
        <v>0</v>
      </c>
    </row>
    <row r="411" spans="1:6" ht="29">
      <c r="A411" s="21"/>
      <c r="B411" s="77" t="s">
        <v>203</v>
      </c>
      <c r="C411" s="22"/>
      <c r="D411" s="14"/>
      <c r="E411" s="20"/>
      <c r="F411" s="16">
        <f t="shared" si="13"/>
        <v>0</v>
      </c>
    </row>
    <row r="412" spans="1:6" ht="29">
      <c r="A412" s="21"/>
      <c r="B412" s="77" t="s">
        <v>204</v>
      </c>
      <c r="C412" s="22"/>
      <c r="D412" s="14"/>
      <c r="E412" s="20"/>
      <c r="F412" s="16">
        <f t="shared" si="13"/>
        <v>0</v>
      </c>
    </row>
    <row r="413" spans="1:6" ht="29">
      <c r="A413" s="21"/>
      <c r="B413" s="77" t="s">
        <v>205</v>
      </c>
      <c r="C413" s="22"/>
      <c r="D413" s="14"/>
      <c r="E413" s="20"/>
      <c r="F413" s="16">
        <f t="shared" si="13"/>
        <v>0</v>
      </c>
    </row>
    <row r="414" spans="1:6">
      <c r="A414" s="21"/>
      <c r="B414" s="77" t="s">
        <v>206</v>
      </c>
      <c r="C414" s="22"/>
      <c r="D414" s="14"/>
      <c r="E414" s="20"/>
      <c r="F414" s="16">
        <f t="shared" si="13"/>
        <v>0</v>
      </c>
    </row>
    <row r="415" spans="1:6">
      <c r="A415" s="21"/>
      <c r="B415" s="89"/>
      <c r="C415" s="22"/>
      <c r="D415" s="20"/>
      <c r="E415" s="20"/>
      <c r="F415" s="52"/>
    </row>
    <row r="416" spans="1:6">
      <c r="A416" s="21" t="s">
        <v>14</v>
      </c>
      <c r="B416" s="77" t="s">
        <v>207</v>
      </c>
      <c r="C416" s="22" t="s">
        <v>12</v>
      </c>
      <c r="D416" s="20">
        <v>72</v>
      </c>
      <c r="E416" s="20">
        <v>15</v>
      </c>
      <c r="F416" s="52">
        <f>D416*E416</f>
        <v>1080</v>
      </c>
    </row>
    <row r="417" spans="1:6">
      <c r="A417" s="21"/>
      <c r="B417" s="90"/>
      <c r="C417" s="20"/>
      <c r="D417" s="20"/>
      <c r="E417" s="20"/>
      <c r="F417" s="52"/>
    </row>
    <row r="418" spans="1:6">
      <c r="A418" s="21"/>
      <c r="B418" s="78" t="s">
        <v>208</v>
      </c>
      <c r="C418" s="20"/>
      <c r="D418" s="20"/>
      <c r="E418" s="20"/>
      <c r="F418" s="52"/>
    </row>
    <row r="419" spans="1:6">
      <c r="A419" s="21"/>
      <c r="B419" s="90"/>
      <c r="C419" s="20"/>
      <c r="D419" s="20"/>
      <c r="E419" s="20"/>
      <c r="F419" s="52"/>
    </row>
    <row r="420" spans="1:6" ht="29">
      <c r="A420" s="21"/>
      <c r="B420" s="78" t="s">
        <v>209</v>
      </c>
      <c r="C420" s="22"/>
      <c r="D420" s="20"/>
      <c r="E420" s="20"/>
      <c r="F420" s="52"/>
    </row>
    <row r="421" spans="1:6" ht="29">
      <c r="A421" s="21"/>
      <c r="B421" s="78" t="s">
        <v>210</v>
      </c>
      <c r="C421" s="22"/>
      <c r="D421" s="20"/>
      <c r="E421" s="20"/>
      <c r="F421" s="52"/>
    </row>
    <row r="422" spans="1:6" ht="29">
      <c r="A422" s="21"/>
      <c r="B422" s="78" t="s">
        <v>211</v>
      </c>
      <c r="C422" s="22"/>
      <c r="D422" s="20"/>
      <c r="E422" s="20"/>
      <c r="F422" s="52"/>
    </row>
    <row r="423" spans="1:6" ht="29">
      <c r="A423" s="21"/>
      <c r="B423" s="78" t="s">
        <v>212</v>
      </c>
      <c r="C423" s="22"/>
      <c r="D423" s="20"/>
      <c r="E423" s="20"/>
      <c r="F423" s="52"/>
    </row>
    <row r="424" spans="1:6">
      <c r="A424" s="21"/>
      <c r="B424" s="78" t="s">
        <v>213</v>
      </c>
      <c r="C424" s="22"/>
      <c r="D424" s="20"/>
      <c r="E424" s="20"/>
      <c r="F424" s="52"/>
    </row>
    <row r="425" spans="1:6">
      <c r="A425" s="21"/>
      <c r="B425" s="89"/>
      <c r="C425" s="22"/>
      <c r="D425" s="20"/>
      <c r="E425" s="20"/>
      <c r="F425" s="52"/>
    </row>
    <row r="426" spans="1:6" ht="29">
      <c r="A426" s="21" t="s">
        <v>9</v>
      </c>
      <c r="B426" s="77" t="s">
        <v>214</v>
      </c>
      <c r="C426" s="22"/>
      <c r="D426" s="20"/>
      <c r="E426" s="20"/>
      <c r="F426" s="52"/>
    </row>
    <row r="427" spans="1:6" ht="29">
      <c r="A427" s="21"/>
      <c r="B427" s="77" t="s">
        <v>215</v>
      </c>
      <c r="C427" s="22"/>
      <c r="D427" s="20"/>
      <c r="E427" s="20"/>
      <c r="F427" s="52"/>
    </row>
    <row r="428" spans="1:6" ht="29">
      <c r="A428" s="21"/>
      <c r="B428" s="77" t="s">
        <v>216</v>
      </c>
      <c r="C428" s="22"/>
      <c r="D428" s="20"/>
      <c r="E428" s="20"/>
      <c r="F428" s="52"/>
    </row>
    <row r="429" spans="1:6">
      <c r="A429" s="21"/>
      <c r="B429" s="77" t="s">
        <v>217</v>
      </c>
      <c r="C429" s="22" t="s">
        <v>4</v>
      </c>
      <c r="D429" s="20">
        <v>400</v>
      </c>
      <c r="E429" s="20">
        <v>8</v>
      </c>
      <c r="F429" s="52">
        <f>D429*E429</f>
        <v>3200</v>
      </c>
    </row>
    <row r="430" spans="1:6">
      <c r="A430" s="21"/>
      <c r="B430" s="90"/>
      <c r="C430" s="22"/>
      <c r="D430" s="20"/>
      <c r="E430" s="20"/>
      <c r="F430" s="52"/>
    </row>
    <row r="431" spans="1:6" ht="29">
      <c r="A431" s="21" t="s">
        <v>11</v>
      </c>
      <c r="B431" s="77" t="s">
        <v>218</v>
      </c>
      <c r="C431" s="22"/>
      <c r="D431" s="20"/>
      <c r="E431" s="20"/>
      <c r="F431" s="52"/>
    </row>
    <row r="432" spans="1:6" ht="29">
      <c r="A432" s="21"/>
      <c r="B432" s="77" t="s">
        <v>219</v>
      </c>
      <c r="C432" s="22"/>
      <c r="D432" s="20"/>
      <c r="E432" s="20"/>
      <c r="F432" s="52"/>
    </row>
    <row r="433" spans="1:6">
      <c r="A433" s="21"/>
      <c r="B433" s="77" t="s">
        <v>341</v>
      </c>
      <c r="C433" s="22" t="s">
        <v>5</v>
      </c>
      <c r="D433" s="20">
        <v>1</v>
      </c>
      <c r="E433" s="20">
        <v>30</v>
      </c>
      <c r="F433" s="52">
        <f>D433*E433</f>
        <v>30</v>
      </c>
    </row>
    <row r="434" spans="1:6">
      <c r="A434" s="21"/>
      <c r="B434" s="77"/>
      <c r="C434" s="22"/>
      <c r="D434" s="20"/>
      <c r="E434" s="20"/>
      <c r="F434" s="52"/>
    </row>
    <row r="435" spans="1:6" ht="29">
      <c r="A435" s="21" t="s">
        <v>15</v>
      </c>
      <c r="B435" s="77" t="s">
        <v>360</v>
      </c>
      <c r="C435" s="22"/>
      <c r="D435" s="20"/>
      <c r="E435" s="20"/>
      <c r="F435" s="52"/>
    </row>
    <row r="436" spans="1:6">
      <c r="A436" s="21"/>
      <c r="B436" s="77" t="s">
        <v>361</v>
      </c>
      <c r="C436" s="22" t="s">
        <v>25</v>
      </c>
      <c r="D436" s="20">
        <v>1</v>
      </c>
      <c r="E436" s="20">
        <v>2000</v>
      </c>
      <c r="F436" s="52">
        <f>D436*E436</f>
        <v>2000</v>
      </c>
    </row>
    <row r="437" spans="1:6">
      <c r="A437" s="21"/>
      <c r="B437" s="90"/>
      <c r="C437" s="22"/>
      <c r="D437" s="20"/>
      <c r="E437" s="20"/>
      <c r="F437" s="52"/>
    </row>
    <row r="438" spans="1:6">
      <c r="A438" s="21"/>
      <c r="B438" s="91" t="s">
        <v>351</v>
      </c>
      <c r="C438" s="22"/>
      <c r="D438" s="20"/>
      <c r="E438" s="20"/>
      <c r="F438" s="52"/>
    </row>
    <row r="439" spans="1:6">
      <c r="A439" s="21"/>
      <c r="B439" s="90"/>
      <c r="C439" s="22"/>
      <c r="D439" s="20"/>
      <c r="E439" s="20"/>
      <c r="F439" s="52"/>
    </row>
    <row r="440" spans="1:6" ht="29">
      <c r="A440" s="21" t="s">
        <v>16</v>
      </c>
      <c r="B440" s="78" t="s">
        <v>349</v>
      </c>
      <c r="C440" s="22"/>
      <c r="D440" s="20"/>
      <c r="E440" s="20"/>
      <c r="F440" s="52"/>
    </row>
    <row r="441" spans="1:6" ht="29">
      <c r="A441" s="21"/>
      <c r="B441" s="78" t="s">
        <v>350</v>
      </c>
      <c r="C441" s="22"/>
      <c r="D441" s="20"/>
      <c r="E441" s="20"/>
      <c r="F441" s="52"/>
    </row>
    <row r="442" spans="1:6">
      <c r="A442" s="21"/>
      <c r="B442" s="90"/>
      <c r="C442" s="22"/>
      <c r="D442" s="20"/>
      <c r="E442" s="20"/>
      <c r="F442" s="52"/>
    </row>
    <row r="443" spans="1:6" ht="29">
      <c r="A443" s="21"/>
      <c r="B443" s="77" t="s">
        <v>358</v>
      </c>
      <c r="C443" s="22"/>
      <c r="D443" s="20"/>
      <c r="E443" s="20"/>
      <c r="F443" s="52"/>
    </row>
    <row r="444" spans="1:6" ht="29">
      <c r="A444" s="21"/>
      <c r="B444" s="77" t="s">
        <v>352</v>
      </c>
      <c r="C444" s="22"/>
      <c r="D444" s="20"/>
      <c r="E444" s="20"/>
      <c r="F444" s="52"/>
    </row>
    <row r="445" spans="1:6" ht="29">
      <c r="A445" s="21"/>
      <c r="B445" s="77" t="s">
        <v>353</v>
      </c>
      <c r="C445" s="22"/>
      <c r="D445" s="20"/>
      <c r="E445" s="20"/>
      <c r="F445" s="52"/>
    </row>
    <row r="446" spans="1:6" ht="29">
      <c r="A446" s="21"/>
      <c r="B446" s="77" t="s">
        <v>354</v>
      </c>
      <c r="C446" s="22"/>
      <c r="D446" s="20"/>
      <c r="E446" s="20"/>
      <c r="F446" s="52"/>
    </row>
    <row r="447" spans="1:6" ht="29">
      <c r="A447" s="21"/>
      <c r="B447" s="77" t="s">
        <v>355</v>
      </c>
      <c r="C447" s="22"/>
      <c r="D447" s="20"/>
      <c r="E447" s="20"/>
      <c r="F447" s="52"/>
    </row>
    <row r="448" spans="1:6" ht="29">
      <c r="A448" s="21"/>
      <c r="B448" s="77" t="s">
        <v>356</v>
      </c>
      <c r="C448" s="22"/>
      <c r="D448" s="20"/>
      <c r="E448" s="20"/>
      <c r="F448" s="52"/>
    </row>
    <row r="449" spans="1:6">
      <c r="A449" s="21"/>
      <c r="B449" s="77" t="s">
        <v>357</v>
      </c>
      <c r="C449" s="22" t="s">
        <v>5</v>
      </c>
      <c r="D449" s="20">
        <v>24</v>
      </c>
      <c r="E449" s="20">
        <v>500</v>
      </c>
      <c r="F449" s="52">
        <f>D449*E449</f>
        <v>12000</v>
      </c>
    </row>
    <row r="450" spans="1:6">
      <c r="A450" s="21"/>
      <c r="B450" s="90"/>
      <c r="C450" s="22"/>
      <c r="D450" s="20"/>
      <c r="E450" s="20"/>
      <c r="F450" s="52"/>
    </row>
    <row r="451" spans="1:6">
      <c r="A451" s="21"/>
      <c r="B451" s="77"/>
      <c r="C451" s="20"/>
      <c r="D451" s="20"/>
      <c r="E451" s="20"/>
      <c r="F451" s="53"/>
    </row>
    <row r="452" spans="1:6">
      <c r="A452" s="21"/>
      <c r="B452" s="76" t="s">
        <v>147</v>
      </c>
      <c r="C452" s="24" t="s">
        <v>148</v>
      </c>
      <c r="D452" s="20"/>
      <c r="E452" s="20"/>
      <c r="F452" s="25">
        <f>SUM(F385:F451)</f>
        <v>20190</v>
      </c>
    </row>
    <row r="453" spans="1:6">
      <c r="A453" s="21"/>
      <c r="B453" s="76"/>
      <c r="C453" s="24"/>
      <c r="D453" s="20"/>
      <c r="E453" s="20"/>
      <c r="F453" s="25"/>
    </row>
    <row r="454" spans="1:6">
      <c r="A454" s="21"/>
      <c r="B454" s="88"/>
      <c r="C454" s="34"/>
      <c r="D454" s="20"/>
      <c r="E454" s="20"/>
      <c r="F454" s="53"/>
    </row>
    <row r="455" spans="1:6">
      <c r="A455" s="21"/>
      <c r="B455" s="88" t="str">
        <f>B7</f>
        <v>SECTION 2: MAIN BLOCK</v>
      </c>
      <c r="C455" s="34"/>
      <c r="D455" s="20"/>
      <c r="E455" s="20"/>
      <c r="F455" s="53"/>
    </row>
    <row r="456" spans="1:6">
      <c r="A456" s="21"/>
      <c r="B456" s="88"/>
      <c r="C456" s="34"/>
      <c r="D456" s="20"/>
      <c r="E456" s="20"/>
      <c r="F456" s="53"/>
    </row>
    <row r="457" spans="1:6">
      <c r="A457" s="21"/>
      <c r="B457" s="74" t="s">
        <v>271</v>
      </c>
      <c r="C457" s="34"/>
      <c r="D457" s="20"/>
      <c r="E457" s="20"/>
      <c r="F457" s="53"/>
    </row>
    <row r="458" spans="1:6">
      <c r="A458" s="21"/>
      <c r="B458" s="74"/>
      <c r="C458" s="34"/>
      <c r="D458" s="20"/>
      <c r="E458" s="20"/>
      <c r="F458" s="53"/>
    </row>
    <row r="459" spans="1:6">
      <c r="A459" s="21"/>
      <c r="B459" s="78" t="s">
        <v>323</v>
      </c>
      <c r="C459" s="34"/>
      <c r="D459" s="20"/>
      <c r="E459" s="20"/>
      <c r="F459" s="53"/>
    </row>
    <row r="460" spans="1:6">
      <c r="A460" s="21"/>
      <c r="B460" s="88"/>
      <c r="C460" s="34"/>
      <c r="D460" s="20"/>
      <c r="E460" s="20"/>
      <c r="F460" s="53"/>
    </row>
    <row r="461" spans="1:6" ht="29">
      <c r="A461" s="21"/>
      <c r="B461" s="78" t="s">
        <v>307</v>
      </c>
      <c r="C461" s="34"/>
      <c r="D461" s="20"/>
      <c r="E461" s="20"/>
      <c r="F461" s="53"/>
    </row>
    <row r="462" spans="1:6" ht="29">
      <c r="A462" s="21"/>
      <c r="B462" s="78" t="s">
        <v>308</v>
      </c>
      <c r="C462" s="34"/>
      <c r="D462" s="20"/>
      <c r="E462" s="20"/>
      <c r="F462" s="53"/>
    </row>
    <row r="463" spans="1:6" ht="29">
      <c r="A463" s="21"/>
      <c r="B463" s="78" t="s">
        <v>309</v>
      </c>
      <c r="C463" s="34"/>
      <c r="D463" s="20"/>
      <c r="E463" s="20"/>
      <c r="F463" s="53"/>
    </row>
    <row r="464" spans="1:6" ht="29">
      <c r="A464" s="21"/>
      <c r="B464" s="78" t="s">
        <v>310</v>
      </c>
      <c r="C464" s="34"/>
      <c r="D464" s="20"/>
      <c r="E464" s="20"/>
      <c r="F464" s="53"/>
    </row>
    <row r="465" spans="1:6" ht="29">
      <c r="A465" s="21"/>
      <c r="B465" s="78" t="s">
        <v>311</v>
      </c>
      <c r="C465" s="34"/>
      <c r="D465" s="20"/>
      <c r="E465" s="20"/>
      <c r="F465" s="53"/>
    </row>
    <row r="466" spans="1:6" ht="29">
      <c r="A466" s="21"/>
      <c r="B466" s="78" t="s">
        <v>312</v>
      </c>
      <c r="C466" s="34"/>
      <c r="D466" s="20"/>
      <c r="E466" s="20"/>
      <c r="F466" s="53"/>
    </row>
    <row r="467" spans="1:6" ht="29">
      <c r="A467" s="21"/>
      <c r="B467" s="78" t="s">
        <v>313</v>
      </c>
      <c r="C467" s="34"/>
      <c r="D467" s="20"/>
      <c r="E467" s="20"/>
      <c r="F467" s="53"/>
    </row>
    <row r="468" spans="1:6" ht="29">
      <c r="A468" s="21"/>
      <c r="B468" s="78" t="s">
        <v>314</v>
      </c>
      <c r="C468" s="34"/>
      <c r="D468" s="20"/>
      <c r="E468" s="20"/>
      <c r="F468" s="53"/>
    </row>
    <row r="469" spans="1:6" ht="29">
      <c r="A469" s="21"/>
      <c r="B469" s="78" t="s">
        <v>315</v>
      </c>
      <c r="C469" s="34"/>
      <c r="D469" s="20"/>
      <c r="E469" s="20"/>
      <c r="F469" s="53"/>
    </row>
    <row r="470" spans="1:6" ht="29">
      <c r="A470" s="21"/>
      <c r="B470" s="78" t="s">
        <v>316</v>
      </c>
      <c r="C470" s="34"/>
      <c r="D470" s="20"/>
      <c r="E470" s="20"/>
      <c r="F470" s="53"/>
    </row>
    <row r="471" spans="1:6" ht="29">
      <c r="A471" s="21"/>
      <c r="B471" s="78" t="s">
        <v>317</v>
      </c>
      <c r="C471" s="34"/>
      <c r="D471" s="20"/>
      <c r="E471" s="20"/>
      <c r="F471" s="53"/>
    </row>
    <row r="472" spans="1:6" ht="29">
      <c r="A472" s="21"/>
      <c r="B472" s="78" t="s">
        <v>318</v>
      </c>
      <c r="C472" s="34"/>
      <c r="D472" s="20"/>
      <c r="E472" s="20"/>
      <c r="F472" s="53"/>
    </row>
    <row r="473" spans="1:6" ht="29">
      <c r="A473" s="21"/>
      <c r="B473" s="78" t="s">
        <v>319</v>
      </c>
      <c r="C473" s="34"/>
      <c r="D473" s="20"/>
      <c r="E473" s="20"/>
      <c r="F473" s="53"/>
    </row>
    <row r="474" spans="1:6" ht="29">
      <c r="A474" s="21"/>
      <c r="B474" s="78" t="s">
        <v>320</v>
      </c>
      <c r="C474" s="34"/>
      <c r="D474" s="20"/>
      <c r="E474" s="20"/>
      <c r="F474" s="53"/>
    </row>
    <row r="475" spans="1:6">
      <c r="A475" s="21"/>
      <c r="B475" s="78" t="s">
        <v>321</v>
      </c>
      <c r="C475" s="34"/>
      <c r="D475" s="20"/>
      <c r="E475" s="20"/>
      <c r="F475" s="53"/>
    </row>
    <row r="476" spans="1:6">
      <c r="A476" s="21"/>
      <c r="B476" s="78"/>
      <c r="C476" s="34"/>
      <c r="D476" s="20"/>
      <c r="E476" s="20"/>
      <c r="F476" s="53"/>
    </row>
    <row r="477" spans="1:6">
      <c r="A477" s="21"/>
      <c r="B477" s="78"/>
      <c r="C477" s="34"/>
      <c r="D477" s="20"/>
      <c r="E477" s="20"/>
      <c r="F477" s="53"/>
    </row>
    <row r="478" spans="1:6" ht="29">
      <c r="A478" s="21" t="s">
        <v>13</v>
      </c>
      <c r="B478" s="77" t="s">
        <v>276</v>
      </c>
      <c r="C478" s="34" t="s">
        <v>25</v>
      </c>
      <c r="D478" s="20">
        <v>1</v>
      </c>
      <c r="E478" s="20">
        <v>700</v>
      </c>
      <c r="F478" s="52">
        <f>D478*E478</f>
        <v>700</v>
      </c>
    </row>
    <row r="479" spans="1:6">
      <c r="A479" s="21"/>
      <c r="B479" s="77"/>
      <c r="C479" s="34"/>
      <c r="D479" s="20"/>
      <c r="E479" s="20"/>
      <c r="F479" s="52"/>
    </row>
    <row r="480" spans="1:6">
      <c r="A480" s="21"/>
      <c r="B480" s="78" t="s">
        <v>322</v>
      </c>
      <c r="C480" s="34"/>
      <c r="D480" s="20"/>
      <c r="E480" s="20"/>
      <c r="F480" s="52"/>
    </row>
    <row r="481" spans="1:6">
      <c r="A481" s="21"/>
      <c r="B481" s="77"/>
      <c r="C481" s="34"/>
      <c r="D481" s="20"/>
      <c r="E481" s="20"/>
      <c r="F481" s="52"/>
    </row>
    <row r="482" spans="1:6" ht="29">
      <c r="A482" s="21"/>
      <c r="B482" s="78" t="s">
        <v>272</v>
      </c>
      <c r="C482" s="34"/>
      <c r="D482" s="20"/>
      <c r="E482" s="20"/>
      <c r="F482" s="52"/>
    </row>
    <row r="483" spans="1:6" ht="29">
      <c r="A483" s="21"/>
      <c r="B483" s="78" t="s">
        <v>273</v>
      </c>
      <c r="C483" s="34"/>
      <c r="D483" s="20"/>
      <c r="E483" s="20"/>
      <c r="F483" s="52"/>
    </row>
    <row r="484" spans="1:6" ht="29">
      <c r="A484" s="21"/>
      <c r="B484" s="78" t="s">
        <v>274</v>
      </c>
      <c r="C484" s="34"/>
      <c r="D484" s="20"/>
      <c r="E484" s="20"/>
      <c r="F484" s="52"/>
    </row>
    <row r="485" spans="1:6" ht="29">
      <c r="A485" s="21"/>
      <c r="B485" s="78" t="s">
        <v>275</v>
      </c>
      <c r="C485" s="34"/>
      <c r="D485" s="20"/>
      <c r="E485" s="20"/>
      <c r="F485" s="52"/>
    </row>
    <row r="486" spans="1:6">
      <c r="A486" s="21"/>
      <c r="B486" s="88"/>
      <c r="C486" s="34"/>
      <c r="D486" s="20"/>
      <c r="E486" s="20"/>
      <c r="F486" s="53"/>
    </row>
    <row r="487" spans="1:6" ht="29">
      <c r="A487" s="21" t="s">
        <v>3</v>
      </c>
      <c r="B487" s="77" t="s">
        <v>295</v>
      </c>
      <c r="C487" s="34"/>
      <c r="D487" s="20"/>
      <c r="E487" s="20"/>
      <c r="F487" s="52"/>
    </row>
    <row r="488" spans="1:6" ht="29">
      <c r="A488" s="21"/>
      <c r="B488" s="77" t="s">
        <v>296</v>
      </c>
      <c r="C488" s="14"/>
      <c r="D488" s="14"/>
      <c r="E488" s="18"/>
      <c r="F488" s="54"/>
    </row>
    <row r="489" spans="1:6" ht="29">
      <c r="A489" s="21"/>
      <c r="B489" s="77" t="s">
        <v>297</v>
      </c>
      <c r="C489" s="34"/>
      <c r="D489" s="20"/>
      <c r="E489" s="20"/>
      <c r="F489" s="52"/>
    </row>
    <row r="490" spans="1:6" ht="29">
      <c r="A490" s="21"/>
      <c r="B490" s="77" t="s">
        <v>298</v>
      </c>
      <c r="C490" s="34"/>
      <c r="D490" s="20"/>
      <c r="E490" s="20"/>
      <c r="F490" s="52"/>
    </row>
    <row r="491" spans="1:6">
      <c r="A491" s="21"/>
      <c r="B491" s="77" t="s">
        <v>299</v>
      </c>
      <c r="C491" s="34" t="s">
        <v>5</v>
      </c>
      <c r="D491" s="20">
        <v>2</v>
      </c>
      <c r="E491" s="20">
        <v>80</v>
      </c>
      <c r="F491" s="52">
        <f>D491*E491</f>
        <v>160</v>
      </c>
    </row>
    <row r="492" spans="1:6">
      <c r="A492" s="21"/>
      <c r="B492" s="77"/>
      <c r="C492" s="34"/>
      <c r="D492" s="20"/>
      <c r="E492" s="20"/>
      <c r="F492" s="52"/>
    </row>
    <row r="493" spans="1:6" ht="29">
      <c r="A493" s="21" t="s">
        <v>6</v>
      </c>
      <c r="B493" s="77" t="s">
        <v>290</v>
      </c>
      <c r="C493" s="34"/>
      <c r="D493" s="20"/>
      <c r="E493" s="20"/>
      <c r="F493" s="52"/>
    </row>
    <row r="494" spans="1:6" ht="29">
      <c r="A494" s="21"/>
      <c r="B494" s="77" t="s">
        <v>291</v>
      </c>
      <c r="C494" s="34"/>
      <c r="D494" s="20"/>
      <c r="E494" s="20"/>
      <c r="F494" s="52"/>
    </row>
    <row r="495" spans="1:6" ht="29">
      <c r="A495" s="21"/>
      <c r="B495" s="77" t="s">
        <v>292</v>
      </c>
      <c r="C495" s="34"/>
      <c r="D495" s="20"/>
      <c r="E495" s="20"/>
      <c r="F495" s="52"/>
    </row>
    <row r="496" spans="1:6" ht="29">
      <c r="A496" s="21"/>
      <c r="B496" s="77" t="s">
        <v>293</v>
      </c>
      <c r="C496" s="34"/>
      <c r="D496" s="20"/>
      <c r="E496" s="20"/>
      <c r="F496" s="52"/>
    </row>
    <row r="497" spans="1:6" ht="29">
      <c r="A497" s="21"/>
      <c r="B497" s="77" t="s">
        <v>294</v>
      </c>
      <c r="C497" s="34" t="s">
        <v>5</v>
      </c>
      <c r="D497" s="20">
        <v>4</v>
      </c>
      <c r="E497" s="20">
        <v>80</v>
      </c>
      <c r="F497" s="52">
        <f>D497*E497</f>
        <v>320</v>
      </c>
    </row>
    <row r="498" spans="1:6">
      <c r="A498" s="21"/>
      <c r="B498" s="77"/>
      <c r="C498" s="34"/>
      <c r="D498" s="20"/>
      <c r="E498" s="20"/>
      <c r="F498" s="52"/>
    </row>
    <row r="499" spans="1:6" ht="29">
      <c r="A499" s="21" t="s">
        <v>7</v>
      </c>
      <c r="B499" s="77" t="s">
        <v>300</v>
      </c>
      <c r="C499" s="34"/>
      <c r="D499" s="20"/>
      <c r="E499" s="20"/>
      <c r="F499" s="52"/>
    </row>
    <row r="500" spans="1:6">
      <c r="A500" s="21"/>
      <c r="B500" s="77" t="s">
        <v>301</v>
      </c>
      <c r="C500" s="34" t="s">
        <v>5</v>
      </c>
      <c r="D500" s="20">
        <f>D497</f>
        <v>4</v>
      </c>
      <c r="E500" s="20">
        <v>15</v>
      </c>
      <c r="F500" s="52">
        <f>D500*E500</f>
        <v>60</v>
      </c>
    </row>
    <row r="501" spans="1:6">
      <c r="A501" s="21"/>
      <c r="B501" s="77"/>
      <c r="C501" s="34"/>
      <c r="D501" s="20"/>
      <c r="E501" s="20"/>
      <c r="F501" s="52"/>
    </row>
    <row r="502" spans="1:6" ht="29">
      <c r="A502" s="21" t="s">
        <v>8</v>
      </c>
      <c r="B502" s="77" t="s">
        <v>302</v>
      </c>
      <c r="C502" s="34"/>
      <c r="D502" s="20"/>
      <c r="E502" s="20"/>
      <c r="F502" s="52"/>
    </row>
    <row r="503" spans="1:6" ht="29">
      <c r="A503" s="21"/>
      <c r="B503" s="77" t="s">
        <v>303</v>
      </c>
      <c r="C503" s="34"/>
      <c r="D503" s="20"/>
      <c r="E503" s="20"/>
      <c r="F503" s="52"/>
    </row>
    <row r="504" spans="1:6">
      <c r="A504" s="21"/>
      <c r="B504" s="77" t="s">
        <v>299</v>
      </c>
      <c r="C504" s="34" t="s">
        <v>5</v>
      </c>
      <c r="D504" s="20">
        <v>2</v>
      </c>
      <c r="E504" s="20">
        <v>20</v>
      </c>
      <c r="F504" s="52">
        <f>D504*E504</f>
        <v>40</v>
      </c>
    </row>
    <row r="505" spans="1:6">
      <c r="A505" s="21"/>
      <c r="B505" s="77"/>
      <c r="C505" s="34"/>
      <c r="D505" s="20"/>
      <c r="E505" s="20"/>
      <c r="F505" s="52"/>
    </row>
    <row r="506" spans="1:6" ht="29">
      <c r="A506" s="21" t="s">
        <v>10</v>
      </c>
      <c r="B506" s="77" t="s">
        <v>304</v>
      </c>
      <c r="C506" s="34"/>
      <c r="D506" s="20"/>
      <c r="E506" s="20"/>
      <c r="F506" s="52"/>
    </row>
    <row r="507" spans="1:6" ht="29">
      <c r="A507" s="21"/>
      <c r="B507" s="77" t="s">
        <v>305</v>
      </c>
      <c r="C507" s="34"/>
      <c r="D507" s="20"/>
      <c r="E507" s="20"/>
      <c r="F507" s="52"/>
    </row>
    <row r="508" spans="1:6">
      <c r="A508" s="21"/>
      <c r="B508" s="77" t="s">
        <v>306</v>
      </c>
      <c r="C508" s="34" t="s">
        <v>5</v>
      </c>
      <c r="D508" s="20">
        <v>2</v>
      </c>
      <c r="E508" s="20">
        <v>10</v>
      </c>
      <c r="F508" s="52">
        <f>D508*E508</f>
        <v>20</v>
      </c>
    </row>
    <row r="509" spans="1:6">
      <c r="A509" s="21"/>
      <c r="B509" s="77"/>
      <c r="C509" s="34"/>
      <c r="D509" s="20"/>
      <c r="E509" s="20"/>
      <c r="F509" s="52"/>
    </row>
    <row r="510" spans="1:6" ht="29">
      <c r="A510" s="21" t="s">
        <v>9</v>
      </c>
      <c r="B510" s="77" t="s">
        <v>418</v>
      </c>
      <c r="C510" s="14"/>
      <c r="D510" s="14"/>
      <c r="E510" s="18"/>
      <c r="F510" s="54"/>
    </row>
    <row r="511" spans="1:6" ht="29">
      <c r="A511" s="21"/>
      <c r="B511" s="77" t="s">
        <v>419</v>
      </c>
      <c r="C511" s="34"/>
      <c r="D511" s="20"/>
      <c r="E511" s="20"/>
      <c r="F511" s="52"/>
    </row>
    <row r="512" spans="1:6">
      <c r="A512" s="21"/>
      <c r="B512" s="77" t="s">
        <v>420</v>
      </c>
      <c r="C512" s="34" t="s">
        <v>25</v>
      </c>
      <c r="D512" s="20">
        <v>1</v>
      </c>
      <c r="E512" s="20">
        <v>200</v>
      </c>
      <c r="F512" s="52">
        <f>D512*E512</f>
        <v>200</v>
      </c>
    </row>
    <row r="513" spans="1:6">
      <c r="A513" s="21"/>
      <c r="B513" s="88"/>
      <c r="C513" s="34"/>
      <c r="D513" s="14"/>
      <c r="E513" s="20"/>
      <c r="F513" s="16">
        <f t="shared" ref="F513:F572" si="14">D513*E513</f>
        <v>0</v>
      </c>
    </row>
    <row r="514" spans="1:6">
      <c r="A514" s="21"/>
      <c r="B514" s="77"/>
      <c r="C514" s="34"/>
      <c r="D514" s="14"/>
      <c r="E514" s="20"/>
      <c r="F514" s="16">
        <f t="shared" si="14"/>
        <v>0</v>
      </c>
    </row>
    <row r="515" spans="1:6">
      <c r="A515" s="21"/>
      <c r="B515" s="88"/>
      <c r="C515" s="34"/>
      <c r="D515" s="14"/>
      <c r="E515" s="20"/>
      <c r="F515" s="16">
        <f t="shared" si="14"/>
        <v>0</v>
      </c>
    </row>
    <row r="516" spans="1:6" s="58" customFormat="1">
      <c r="A516" s="55"/>
      <c r="B516" s="76" t="s">
        <v>147</v>
      </c>
      <c r="C516" s="24" t="s">
        <v>148</v>
      </c>
      <c r="D516" s="56"/>
      <c r="E516" s="24"/>
      <c r="F516" s="57">
        <f>SUM(F459:F515)</f>
        <v>1500</v>
      </c>
    </row>
    <row r="517" spans="1:6">
      <c r="A517" s="21"/>
      <c r="B517" s="74" t="str">
        <f>B7</f>
        <v>SECTION 2: MAIN BLOCK</v>
      </c>
      <c r="C517" s="20"/>
      <c r="D517" s="14"/>
      <c r="E517" s="20"/>
      <c r="F517" s="16">
        <f t="shared" si="14"/>
        <v>0</v>
      </c>
    </row>
    <row r="518" spans="1:6">
      <c r="A518" s="21"/>
      <c r="B518" s="74"/>
      <c r="C518" s="20"/>
      <c r="D518" s="14"/>
      <c r="E518" s="20"/>
      <c r="F518" s="16">
        <f t="shared" si="14"/>
        <v>0</v>
      </c>
    </row>
    <row r="519" spans="1:6">
      <c r="A519" s="21"/>
      <c r="B519" s="74" t="s">
        <v>220</v>
      </c>
      <c r="C519" s="20"/>
      <c r="D519" s="14"/>
      <c r="E519" s="20"/>
      <c r="F519" s="16">
        <f t="shared" si="14"/>
        <v>0</v>
      </c>
    </row>
    <row r="520" spans="1:6">
      <c r="A520" s="21"/>
      <c r="B520" s="74"/>
      <c r="C520" s="20"/>
      <c r="D520" s="14"/>
      <c r="E520" s="20"/>
      <c r="F520" s="16">
        <f t="shared" si="14"/>
        <v>0</v>
      </c>
    </row>
    <row r="521" spans="1:6">
      <c r="A521" s="21"/>
      <c r="B521" s="78" t="s">
        <v>277</v>
      </c>
      <c r="C521" s="20"/>
      <c r="D521" s="14"/>
      <c r="E521" s="20"/>
      <c r="F521" s="16">
        <f t="shared" si="14"/>
        <v>0</v>
      </c>
    </row>
    <row r="522" spans="1:6">
      <c r="A522" s="21"/>
      <c r="B522" s="77"/>
      <c r="C522" s="20"/>
      <c r="D522" s="14"/>
      <c r="E522" s="20"/>
      <c r="F522" s="16">
        <f t="shared" si="14"/>
        <v>0</v>
      </c>
    </row>
    <row r="523" spans="1:6" ht="29">
      <c r="A523" s="21"/>
      <c r="B523" s="78" t="s">
        <v>328</v>
      </c>
      <c r="C523" s="20"/>
      <c r="D523" s="14"/>
      <c r="E523" s="20"/>
      <c r="F523" s="16">
        <f t="shared" si="14"/>
        <v>0</v>
      </c>
    </row>
    <row r="524" spans="1:6" ht="29">
      <c r="A524" s="21"/>
      <c r="B524" s="78" t="s">
        <v>329</v>
      </c>
      <c r="C524" s="20"/>
      <c r="D524" s="14"/>
      <c r="E524" s="20"/>
      <c r="F524" s="16">
        <f t="shared" si="14"/>
        <v>0</v>
      </c>
    </row>
    <row r="525" spans="1:6">
      <c r="A525" s="21"/>
      <c r="B525" s="78" t="s">
        <v>330</v>
      </c>
      <c r="C525" s="20"/>
      <c r="D525" s="14"/>
      <c r="E525" s="20"/>
      <c r="F525" s="16">
        <f t="shared" si="14"/>
        <v>0</v>
      </c>
    </row>
    <row r="526" spans="1:6">
      <c r="A526" s="21"/>
      <c r="B526" s="78"/>
      <c r="C526" s="20"/>
      <c r="D526" s="14"/>
      <c r="E526" s="20"/>
      <c r="F526" s="16">
        <f t="shared" si="14"/>
        <v>0</v>
      </c>
    </row>
    <row r="527" spans="1:6">
      <c r="A527" s="21" t="s">
        <v>13</v>
      </c>
      <c r="B527" s="77" t="s">
        <v>331</v>
      </c>
      <c r="C527" s="20" t="s">
        <v>5</v>
      </c>
      <c r="D527" s="23">
        <v>4</v>
      </c>
      <c r="E527" s="20">
        <v>60</v>
      </c>
      <c r="F527" s="16">
        <f t="shared" si="14"/>
        <v>240</v>
      </c>
    </row>
    <row r="528" spans="1:6">
      <c r="A528" s="21"/>
      <c r="B528" s="77"/>
      <c r="C528" s="20"/>
      <c r="D528" s="14"/>
      <c r="E528" s="20"/>
      <c r="F528" s="16">
        <f t="shared" si="14"/>
        <v>0</v>
      </c>
    </row>
    <row r="529" spans="1:6">
      <c r="A529" s="21" t="s">
        <v>3</v>
      </c>
      <c r="B529" s="77" t="s">
        <v>365</v>
      </c>
      <c r="C529" s="20" t="s">
        <v>5</v>
      </c>
      <c r="D529" s="23">
        <v>57</v>
      </c>
      <c r="E529" s="20">
        <v>150</v>
      </c>
      <c r="F529" s="16">
        <f t="shared" si="14"/>
        <v>8550</v>
      </c>
    </row>
    <row r="530" spans="1:6">
      <c r="A530" s="21"/>
      <c r="B530" s="77"/>
      <c r="C530" s="20"/>
      <c r="D530" s="14"/>
      <c r="E530" s="20"/>
      <c r="F530" s="16">
        <f t="shared" si="14"/>
        <v>0</v>
      </c>
    </row>
    <row r="531" spans="1:6">
      <c r="A531" s="21" t="s">
        <v>6</v>
      </c>
      <c r="B531" s="77" t="s">
        <v>421</v>
      </c>
      <c r="C531" s="20" t="s">
        <v>5</v>
      </c>
      <c r="D531" s="23"/>
      <c r="E531" s="20">
        <v>120</v>
      </c>
      <c r="F531" s="16">
        <f t="shared" si="14"/>
        <v>0</v>
      </c>
    </row>
    <row r="532" spans="1:6">
      <c r="A532" s="21"/>
      <c r="B532" s="77"/>
      <c r="C532" s="20"/>
      <c r="D532" s="14"/>
      <c r="E532" s="20"/>
      <c r="F532" s="16">
        <f t="shared" si="14"/>
        <v>0</v>
      </c>
    </row>
    <row r="533" spans="1:6" ht="29">
      <c r="A533" s="21" t="s">
        <v>7</v>
      </c>
      <c r="B533" s="77" t="s">
        <v>278</v>
      </c>
      <c r="C533" s="20"/>
      <c r="D533" s="14"/>
      <c r="E533" s="20"/>
      <c r="F533" s="16">
        <f t="shared" si="14"/>
        <v>0</v>
      </c>
    </row>
    <row r="534" spans="1:6" ht="29">
      <c r="A534" s="21"/>
      <c r="B534" s="77" t="s">
        <v>279</v>
      </c>
      <c r="C534" s="20" t="s">
        <v>5</v>
      </c>
      <c r="D534" s="23">
        <f>D529+D527</f>
        <v>61</v>
      </c>
      <c r="E534" s="20">
        <v>20</v>
      </c>
      <c r="F534" s="16">
        <f t="shared" si="14"/>
        <v>1220</v>
      </c>
    </row>
    <row r="535" spans="1:6">
      <c r="A535" s="21"/>
      <c r="B535" s="77"/>
      <c r="C535" s="20"/>
      <c r="D535" s="14"/>
      <c r="E535" s="20"/>
      <c r="F535" s="16">
        <f t="shared" si="14"/>
        <v>0</v>
      </c>
    </row>
    <row r="536" spans="1:6">
      <c r="A536" s="21"/>
      <c r="B536" s="74" t="s">
        <v>59</v>
      </c>
      <c r="C536" s="35"/>
      <c r="D536" s="14"/>
      <c r="E536" s="20"/>
      <c r="F536" s="16">
        <f t="shared" si="14"/>
        <v>0</v>
      </c>
    </row>
    <row r="537" spans="1:6">
      <c r="A537" s="21"/>
      <c r="B537" s="77"/>
      <c r="C537" s="20"/>
      <c r="D537" s="14"/>
      <c r="E537" s="20"/>
      <c r="F537" s="16">
        <f t="shared" si="14"/>
        <v>0</v>
      </c>
    </row>
    <row r="538" spans="1:6" ht="29">
      <c r="A538" s="21"/>
      <c r="B538" s="78" t="s">
        <v>332</v>
      </c>
      <c r="C538" s="20"/>
      <c r="D538" s="14"/>
      <c r="E538" s="20"/>
      <c r="F538" s="16">
        <f t="shared" si="14"/>
        <v>0</v>
      </c>
    </row>
    <row r="539" spans="1:6" ht="29">
      <c r="A539" s="21"/>
      <c r="B539" s="78" t="s">
        <v>333</v>
      </c>
      <c r="C539" s="20"/>
      <c r="D539" s="14"/>
      <c r="E539" s="20"/>
      <c r="F539" s="16">
        <f t="shared" si="14"/>
        <v>0</v>
      </c>
    </row>
    <row r="540" spans="1:6">
      <c r="A540" s="21"/>
      <c r="B540" s="78" t="s">
        <v>334</v>
      </c>
      <c r="C540" s="20"/>
      <c r="D540" s="14"/>
      <c r="E540" s="20"/>
      <c r="F540" s="16">
        <f t="shared" si="14"/>
        <v>0</v>
      </c>
    </row>
    <row r="541" spans="1:6" ht="29">
      <c r="A541" s="21"/>
      <c r="B541" s="78" t="s">
        <v>342</v>
      </c>
      <c r="C541" s="20"/>
      <c r="D541" s="14"/>
      <c r="E541" s="20"/>
      <c r="F541" s="16">
        <f t="shared" si="14"/>
        <v>0</v>
      </c>
    </row>
    <row r="542" spans="1:6">
      <c r="A542" s="21"/>
      <c r="B542" s="78"/>
      <c r="C542" s="20"/>
      <c r="D542" s="14"/>
      <c r="E542" s="20"/>
      <c r="F542" s="16">
        <f t="shared" si="14"/>
        <v>0</v>
      </c>
    </row>
    <row r="543" spans="1:6">
      <c r="A543" s="21"/>
      <c r="B543" s="78"/>
      <c r="C543" s="20"/>
      <c r="D543" s="14"/>
      <c r="E543" s="20"/>
      <c r="F543" s="16">
        <f t="shared" si="14"/>
        <v>0</v>
      </c>
    </row>
    <row r="544" spans="1:6">
      <c r="A544" s="21" t="s">
        <v>13</v>
      </c>
      <c r="B544" s="77" t="s">
        <v>344</v>
      </c>
      <c r="C544" s="20" t="s">
        <v>5</v>
      </c>
      <c r="D544" s="23">
        <v>27</v>
      </c>
      <c r="E544" s="20">
        <v>250</v>
      </c>
      <c r="F544" s="16">
        <f t="shared" si="14"/>
        <v>6750</v>
      </c>
    </row>
    <row r="545" spans="1:6">
      <c r="A545" s="21"/>
      <c r="B545" s="77"/>
      <c r="C545" s="20"/>
      <c r="D545" s="14"/>
      <c r="E545" s="20"/>
      <c r="F545" s="16">
        <f t="shared" si="14"/>
        <v>0</v>
      </c>
    </row>
    <row r="546" spans="1:6">
      <c r="A546" s="21" t="s">
        <v>3</v>
      </c>
      <c r="B546" s="77" t="s">
        <v>345</v>
      </c>
      <c r="C546" s="20" t="s">
        <v>5</v>
      </c>
      <c r="D546" s="23">
        <v>9</v>
      </c>
      <c r="E546" s="20">
        <v>300</v>
      </c>
      <c r="F546" s="16">
        <f t="shared" si="14"/>
        <v>2700</v>
      </c>
    </row>
    <row r="547" spans="1:6">
      <c r="A547" s="21"/>
      <c r="B547" s="77"/>
      <c r="C547" s="20"/>
      <c r="D547" s="14"/>
      <c r="E547" s="20"/>
      <c r="F547" s="16">
        <f t="shared" si="14"/>
        <v>0</v>
      </c>
    </row>
    <row r="548" spans="1:6">
      <c r="A548" s="21"/>
      <c r="B548" s="78" t="s">
        <v>346</v>
      </c>
      <c r="C548" s="20"/>
      <c r="D548" s="14"/>
      <c r="E548" s="20"/>
      <c r="F548" s="16">
        <f t="shared" si="14"/>
        <v>0</v>
      </c>
    </row>
    <row r="549" spans="1:6">
      <c r="A549" s="21"/>
      <c r="B549" s="77"/>
      <c r="C549" s="20"/>
      <c r="D549" s="14"/>
      <c r="E549" s="20"/>
      <c r="F549" s="16">
        <f t="shared" si="14"/>
        <v>0</v>
      </c>
    </row>
    <row r="550" spans="1:6">
      <c r="A550" s="21"/>
      <c r="B550" s="78" t="s">
        <v>280</v>
      </c>
      <c r="C550" s="20"/>
      <c r="D550" s="14"/>
      <c r="E550" s="20"/>
      <c r="F550" s="16">
        <f t="shared" si="14"/>
        <v>0</v>
      </c>
    </row>
    <row r="551" spans="1:6">
      <c r="A551" s="21"/>
      <c r="B551" s="78" t="s">
        <v>281</v>
      </c>
      <c r="C551" s="20"/>
      <c r="D551" s="14"/>
      <c r="E551" s="20"/>
      <c r="F551" s="16">
        <f t="shared" si="14"/>
        <v>0</v>
      </c>
    </row>
    <row r="552" spans="1:6" ht="14" customHeight="1">
      <c r="A552" s="21"/>
      <c r="B552" s="77"/>
      <c r="C552" s="20"/>
      <c r="D552" s="14"/>
      <c r="E552" s="20"/>
      <c r="F552" s="16">
        <f t="shared" si="14"/>
        <v>0</v>
      </c>
    </row>
    <row r="553" spans="1:6" ht="14" customHeight="1">
      <c r="A553" s="21" t="s">
        <v>6</v>
      </c>
      <c r="B553" s="77" t="s">
        <v>282</v>
      </c>
      <c r="C553" s="20" t="s">
        <v>422</v>
      </c>
      <c r="D553" s="23">
        <v>40.5</v>
      </c>
      <c r="E553" s="20">
        <v>8</v>
      </c>
      <c r="F553" s="16">
        <f t="shared" si="14"/>
        <v>324</v>
      </c>
    </row>
    <row r="554" spans="1:6" ht="14" customHeight="1">
      <c r="A554" s="21"/>
      <c r="B554" s="77"/>
      <c r="C554" s="20"/>
      <c r="D554" s="23"/>
      <c r="E554" s="20"/>
      <c r="F554" s="16">
        <f t="shared" si="14"/>
        <v>0</v>
      </c>
    </row>
    <row r="555" spans="1:6" ht="14" customHeight="1">
      <c r="A555" s="21" t="s">
        <v>7</v>
      </c>
      <c r="B555" s="77" t="s">
        <v>343</v>
      </c>
      <c r="C555" s="20" t="s">
        <v>422</v>
      </c>
      <c r="D555" s="23">
        <v>18</v>
      </c>
      <c r="E555" s="20">
        <v>10</v>
      </c>
      <c r="F555" s="16">
        <f t="shared" si="14"/>
        <v>180</v>
      </c>
    </row>
    <row r="556" spans="1:6" ht="14" customHeight="1">
      <c r="A556" s="21"/>
      <c r="B556" s="77"/>
      <c r="C556" s="20"/>
      <c r="D556" s="23"/>
      <c r="E556" s="20"/>
      <c r="F556" s="16">
        <f t="shared" si="14"/>
        <v>0</v>
      </c>
    </row>
    <row r="557" spans="1:6" ht="14" customHeight="1">
      <c r="A557" s="21" t="s">
        <v>10</v>
      </c>
      <c r="B557" s="83" t="s">
        <v>283</v>
      </c>
      <c r="C557" s="20"/>
      <c r="D557" s="23"/>
      <c r="E557" s="20"/>
      <c r="F557" s="16">
        <f t="shared" si="14"/>
        <v>0</v>
      </c>
    </row>
    <row r="558" spans="1:6">
      <c r="A558" s="21"/>
      <c r="B558" s="83" t="s">
        <v>284</v>
      </c>
      <c r="C558" s="20" t="s">
        <v>5</v>
      </c>
      <c r="D558" s="23">
        <v>27</v>
      </c>
      <c r="E558" s="20">
        <v>40</v>
      </c>
      <c r="F558" s="16">
        <f t="shared" si="14"/>
        <v>1080</v>
      </c>
    </row>
    <row r="559" spans="1:6">
      <c r="A559" s="21"/>
      <c r="B559" s="83"/>
      <c r="C559" s="20"/>
      <c r="D559" s="23"/>
      <c r="E559" s="20"/>
      <c r="F559" s="16">
        <f t="shared" si="14"/>
        <v>0</v>
      </c>
    </row>
    <row r="560" spans="1:6">
      <c r="A560" s="21" t="s">
        <v>14</v>
      </c>
      <c r="B560" s="77" t="s">
        <v>343</v>
      </c>
      <c r="C560" s="20" t="s">
        <v>5</v>
      </c>
      <c r="D560" s="23">
        <v>9</v>
      </c>
      <c r="E560" s="20">
        <v>40</v>
      </c>
      <c r="F560" s="16">
        <f t="shared" si="14"/>
        <v>360</v>
      </c>
    </row>
    <row r="561" spans="1:6">
      <c r="A561" s="21"/>
      <c r="B561" s="83"/>
      <c r="C561" s="20"/>
      <c r="D561" s="14"/>
      <c r="E561" s="20"/>
      <c r="F561" s="16">
        <f t="shared" si="14"/>
        <v>0</v>
      </c>
    </row>
    <row r="562" spans="1:6">
      <c r="A562" s="21"/>
      <c r="B562" s="77"/>
      <c r="C562" s="20"/>
      <c r="D562" s="14"/>
      <c r="E562" s="20"/>
      <c r="F562" s="16">
        <f t="shared" si="14"/>
        <v>0</v>
      </c>
    </row>
    <row r="563" spans="1:6">
      <c r="A563" s="21"/>
      <c r="B563" s="77"/>
      <c r="C563" s="22"/>
      <c r="D563" s="14"/>
      <c r="E563" s="20"/>
      <c r="F563" s="16">
        <f t="shared" si="14"/>
        <v>0</v>
      </c>
    </row>
    <row r="564" spans="1:6">
      <c r="A564" s="21"/>
      <c r="B564" s="77"/>
      <c r="C564" s="22"/>
      <c r="D564" s="14"/>
      <c r="E564" s="20"/>
      <c r="F564" s="16">
        <f t="shared" si="14"/>
        <v>0</v>
      </c>
    </row>
    <row r="565" spans="1:6">
      <c r="A565" s="21"/>
      <c r="B565" s="77"/>
      <c r="C565" s="22"/>
      <c r="D565" s="14"/>
      <c r="E565" s="20"/>
      <c r="F565" s="16">
        <f t="shared" si="14"/>
        <v>0</v>
      </c>
    </row>
    <row r="566" spans="1:6">
      <c r="A566" s="21"/>
      <c r="B566" s="77"/>
      <c r="C566" s="22"/>
      <c r="D566" s="14"/>
      <c r="E566" s="20"/>
      <c r="F566" s="16">
        <f t="shared" si="14"/>
        <v>0</v>
      </c>
    </row>
    <row r="567" spans="1:6">
      <c r="A567" s="21"/>
      <c r="B567" s="77"/>
      <c r="C567" s="22"/>
      <c r="D567" s="14"/>
      <c r="E567" s="20"/>
      <c r="F567" s="16">
        <f t="shared" si="14"/>
        <v>0</v>
      </c>
    </row>
    <row r="568" spans="1:6">
      <c r="A568" s="21"/>
      <c r="B568" s="77"/>
      <c r="C568" s="22"/>
      <c r="D568" s="14"/>
      <c r="E568" s="20"/>
      <c r="F568" s="16">
        <f t="shared" si="14"/>
        <v>0</v>
      </c>
    </row>
    <row r="569" spans="1:6">
      <c r="A569" s="21"/>
      <c r="B569" s="77"/>
      <c r="C569" s="22"/>
      <c r="D569" s="14"/>
      <c r="E569" s="20"/>
      <c r="F569" s="16">
        <f t="shared" si="14"/>
        <v>0</v>
      </c>
    </row>
    <row r="570" spans="1:6">
      <c r="A570" s="21"/>
      <c r="B570" s="77"/>
      <c r="C570" s="22"/>
      <c r="D570" s="14"/>
      <c r="E570" s="20"/>
      <c r="F570" s="16">
        <f t="shared" si="14"/>
        <v>0</v>
      </c>
    </row>
    <row r="571" spans="1:6">
      <c r="A571" s="21"/>
      <c r="B571" s="77"/>
      <c r="C571" s="22"/>
      <c r="D571" s="14"/>
      <c r="E571" s="20"/>
      <c r="F571" s="16">
        <f t="shared" si="14"/>
        <v>0</v>
      </c>
    </row>
    <row r="572" spans="1:6">
      <c r="A572" s="21"/>
      <c r="B572" s="77"/>
      <c r="C572" s="22"/>
      <c r="D572" s="14"/>
      <c r="E572" s="20"/>
      <c r="F572" s="16">
        <f t="shared" si="14"/>
        <v>0</v>
      </c>
    </row>
    <row r="573" spans="1:6">
      <c r="A573" s="21"/>
      <c r="B573" s="76" t="s">
        <v>147</v>
      </c>
      <c r="C573" s="24" t="s">
        <v>148</v>
      </c>
      <c r="D573" s="25"/>
      <c r="E573" s="25"/>
      <c r="F573" s="25">
        <f>SUM(F527:F572)</f>
        <v>21404</v>
      </c>
    </row>
    <row r="574" spans="1:6">
      <c r="A574" s="21"/>
      <c r="B574" s="77"/>
      <c r="C574" s="22"/>
      <c r="D574" s="14"/>
      <c r="E574" s="20"/>
      <c r="F574" s="16"/>
    </row>
    <row r="575" spans="1:6">
      <c r="A575" s="21"/>
      <c r="B575" s="74" t="s">
        <v>60</v>
      </c>
      <c r="C575" s="22"/>
      <c r="D575" s="14"/>
      <c r="E575" s="20"/>
      <c r="F575" s="16"/>
    </row>
    <row r="576" spans="1:6">
      <c r="A576" s="21"/>
      <c r="B576" s="74"/>
      <c r="C576" s="22"/>
      <c r="D576" s="14"/>
      <c r="E576" s="20"/>
      <c r="F576" s="16"/>
    </row>
    <row r="577" spans="1:6">
      <c r="A577" s="21"/>
      <c r="B577" s="74"/>
      <c r="C577" s="22"/>
      <c r="D577" s="14"/>
      <c r="E577" s="20"/>
      <c r="F577" s="16"/>
    </row>
    <row r="578" spans="1:6">
      <c r="A578" s="21"/>
      <c r="B578" s="74" t="s">
        <v>5</v>
      </c>
      <c r="C578" s="34"/>
      <c r="D578" s="14"/>
      <c r="E578" s="20"/>
      <c r="F578" s="16"/>
    </row>
    <row r="579" spans="1:6">
      <c r="A579" s="21"/>
      <c r="B579" s="92"/>
      <c r="C579" s="34"/>
      <c r="D579" s="14"/>
      <c r="E579" s="20"/>
      <c r="F579" s="16"/>
    </row>
    <row r="580" spans="1:6">
      <c r="A580" s="21"/>
      <c r="B580" s="74"/>
      <c r="C580" s="34"/>
      <c r="D580" s="14"/>
      <c r="E580" s="20"/>
      <c r="F580" s="16"/>
    </row>
    <row r="581" spans="1:6">
      <c r="A581" s="21"/>
      <c r="B581" s="93">
        <v>1</v>
      </c>
      <c r="C581" s="34"/>
      <c r="D581" s="53"/>
      <c r="E581" s="53"/>
      <c r="F581" s="53">
        <f>F19</f>
        <v>5070</v>
      </c>
    </row>
    <row r="582" spans="1:6">
      <c r="A582" s="21"/>
      <c r="B582" s="92"/>
      <c r="C582" s="34"/>
      <c r="D582" s="53"/>
      <c r="E582" s="53"/>
      <c r="F582" s="53"/>
    </row>
    <row r="583" spans="1:6">
      <c r="A583" s="21"/>
      <c r="B583" s="93">
        <v>2</v>
      </c>
      <c r="C583" s="34"/>
      <c r="D583" s="53"/>
      <c r="E583" s="53"/>
      <c r="F583" s="53">
        <f>F90</f>
        <v>49094.990000000005</v>
      </c>
    </row>
    <row r="584" spans="1:6">
      <c r="A584" s="21"/>
      <c r="B584" s="93"/>
      <c r="C584" s="34"/>
      <c r="D584" s="53"/>
      <c r="E584" s="53"/>
      <c r="F584" s="53"/>
    </row>
    <row r="585" spans="1:6">
      <c r="A585" s="21"/>
      <c r="B585" s="93">
        <v>3</v>
      </c>
      <c r="C585" s="34"/>
      <c r="D585" s="53"/>
      <c r="E585" s="53"/>
      <c r="F585" s="53">
        <f>F188</f>
        <v>191420.28352000008</v>
      </c>
    </row>
    <row r="586" spans="1:6">
      <c r="A586" s="21"/>
      <c r="B586" s="93"/>
      <c r="C586" s="34"/>
      <c r="D586" s="53"/>
      <c r="E586" s="53"/>
      <c r="F586" s="53"/>
    </row>
    <row r="587" spans="1:6">
      <c r="A587" s="21"/>
      <c r="B587" s="93">
        <v>4</v>
      </c>
      <c r="C587" s="34"/>
      <c r="D587" s="53"/>
      <c r="E587" s="53"/>
      <c r="F587" s="53">
        <f>F254</f>
        <v>35488.800000000003</v>
      </c>
    </row>
    <row r="588" spans="1:6">
      <c r="A588" s="21"/>
      <c r="B588" s="93"/>
      <c r="C588" s="34"/>
      <c r="D588" s="53"/>
      <c r="E588" s="53"/>
      <c r="F588" s="53"/>
    </row>
    <row r="589" spans="1:6">
      <c r="A589" s="21"/>
      <c r="B589" s="93">
        <v>5</v>
      </c>
      <c r="C589" s="34"/>
      <c r="D589" s="53"/>
      <c r="E589" s="53"/>
      <c r="F589" s="53">
        <f>F319</f>
        <v>24395.4</v>
      </c>
    </row>
    <row r="590" spans="1:6">
      <c r="A590" s="21"/>
      <c r="B590" s="93"/>
      <c r="C590" s="34"/>
      <c r="D590" s="53"/>
      <c r="E590" s="53"/>
      <c r="F590" s="53"/>
    </row>
    <row r="591" spans="1:6">
      <c r="A591" s="21"/>
      <c r="B591" s="93">
        <v>6</v>
      </c>
      <c r="C591" s="34"/>
      <c r="D591" s="53"/>
      <c r="E591" s="53"/>
      <c r="F591" s="53">
        <f>F377</f>
        <v>51974.2</v>
      </c>
    </row>
    <row r="592" spans="1:6">
      <c r="A592" s="21"/>
      <c r="B592" s="93"/>
      <c r="C592" s="34"/>
      <c r="D592" s="53"/>
      <c r="E592" s="53"/>
      <c r="F592" s="53"/>
    </row>
    <row r="593" spans="1:6">
      <c r="A593" s="21"/>
      <c r="B593" s="93">
        <v>7</v>
      </c>
      <c r="C593" s="34"/>
      <c r="D593" s="53"/>
      <c r="E593" s="53"/>
      <c r="F593" s="53">
        <f>F452</f>
        <v>20190</v>
      </c>
    </row>
    <row r="594" spans="1:6">
      <c r="A594" s="21"/>
      <c r="B594" s="93"/>
      <c r="C594" s="34"/>
      <c r="D594" s="53"/>
      <c r="E594" s="53"/>
      <c r="F594" s="53"/>
    </row>
    <row r="595" spans="1:6">
      <c r="A595" s="21"/>
      <c r="B595" s="93">
        <v>8</v>
      </c>
      <c r="C595" s="34"/>
      <c r="D595" s="53"/>
      <c r="E595" s="53"/>
      <c r="F595" s="53">
        <f>F516</f>
        <v>1500</v>
      </c>
    </row>
    <row r="596" spans="1:6">
      <c r="A596" s="21"/>
      <c r="B596" s="93"/>
      <c r="C596" s="34"/>
      <c r="D596" s="53"/>
      <c r="E596" s="53"/>
      <c r="F596" s="53"/>
    </row>
    <row r="597" spans="1:6">
      <c r="A597" s="21"/>
      <c r="B597" s="93">
        <v>9</v>
      </c>
      <c r="C597" s="34"/>
      <c r="D597" s="53"/>
      <c r="E597" s="53"/>
      <c r="F597" s="53">
        <f>F573</f>
        <v>21404</v>
      </c>
    </row>
    <row r="598" spans="1:6">
      <c r="A598" s="21"/>
      <c r="B598" s="93"/>
      <c r="C598" s="34"/>
      <c r="D598" s="14"/>
      <c r="E598" s="20"/>
      <c r="F598" s="16"/>
    </row>
    <row r="599" spans="1:6">
      <c r="A599" s="21"/>
      <c r="B599" s="93"/>
      <c r="C599" s="34"/>
      <c r="D599" s="14"/>
      <c r="E599" s="20"/>
      <c r="F599" s="16"/>
    </row>
    <row r="600" spans="1:6">
      <c r="A600" s="21"/>
      <c r="B600" s="93"/>
      <c r="C600" s="34"/>
      <c r="D600" s="14"/>
      <c r="E600" s="20"/>
      <c r="F600" s="16"/>
    </row>
    <row r="601" spans="1:6">
      <c r="A601" s="21"/>
      <c r="B601" s="93"/>
      <c r="C601" s="34"/>
      <c r="D601" s="14"/>
      <c r="E601" s="20"/>
      <c r="F601" s="16"/>
    </row>
    <row r="602" spans="1:6">
      <c r="A602" s="21"/>
      <c r="B602" s="93"/>
      <c r="C602" s="34"/>
      <c r="D602" s="14"/>
      <c r="E602" s="20"/>
      <c r="F602" s="16"/>
    </row>
    <row r="603" spans="1:6">
      <c r="A603" s="21"/>
      <c r="B603" s="93"/>
      <c r="C603" s="34"/>
      <c r="D603" s="14"/>
      <c r="E603" s="20"/>
      <c r="F603" s="16"/>
    </row>
    <row r="604" spans="1:6">
      <c r="A604" s="21"/>
      <c r="B604" s="77"/>
      <c r="C604" s="34"/>
      <c r="D604" s="14"/>
      <c r="E604" s="20"/>
      <c r="F604" s="16"/>
    </row>
    <row r="605" spans="1:6">
      <c r="A605" s="21"/>
      <c r="B605" s="76" t="s">
        <v>221</v>
      </c>
      <c r="C605" s="34"/>
      <c r="D605" s="25"/>
      <c r="E605" s="25"/>
      <c r="F605" s="59">
        <f>SUM(F581:F604)</f>
        <v>400537.67352000013</v>
      </c>
    </row>
    <row r="606" spans="1:6">
      <c r="A606" s="21"/>
      <c r="B606" s="76"/>
      <c r="C606" s="34"/>
      <c r="D606" s="25"/>
      <c r="E606" s="25"/>
      <c r="F606" s="59"/>
    </row>
    <row r="607" spans="1:6">
      <c r="A607" s="21"/>
      <c r="B607" s="77"/>
      <c r="C607" s="34"/>
      <c r="D607" s="53"/>
      <c r="E607" s="53"/>
      <c r="F607" s="60"/>
    </row>
    <row r="608" spans="1:6">
      <c r="A608" s="21"/>
      <c r="B608" s="77"/>
      <c r="C608" s="34"/>
      <c r="D608" s="53"/>
      <c r="E608" s="53"/>
      <c r="F608" s="60"/>
    </row>
    <row r="609" spans="1:6">
      <c r="A609" s="21"/>
      <c r="B609" s="77"/>
      <c r="C609" s="34"/>
      <c r="D609" s="53"/>
      <c r="E609" s="53"/>
      <c r="F609" s="60"/>
    </row>
    <row r="610" spans="1:6">
      <c r="A610" s="21"/>
      <c r="B610" s="94"/>
      <c r="C610" s="34"/>
      <c r="D610" s="53"/>
      <c r="E610" s="53"/>
      <c r="F610" s="60"/>
    </row>
    <row r="611" spans="1:6">
      <c r="A611" s="61"/>
      <c r="B611" s="95"/>
      <c r="C611" s="62"/>
      <c r="D611" s="63"/>
      <c r="E611" s="63"/>
      <c r="F611" s="64"/>
    </row>
    <row r="612" spans="1:6">
      <c r="A612" s="21"/>
      <c r="B612" s="74" t="s">
        <v>222</v>
      </c>
      <c r="C612" s="62"/>
      <c r="D612" s="25"/>
      <c r="E612" s="25"/>
      <c r="F612" s="59">
        <f>F605</f>
        <v>400537.67352000013</v>
      </c>
    </row>
    <row r="613" spans="1:6">
      <c r="A613" s="21"/>
      <c r="B613" s="76"/>
      <c r="C613" s="22"/>
      <c r="D613" s="14"/>
      <c r="E613" s="20"/>
      <c r="F613" s="16"/>
    </row>
    <row r="614" spans="1:6">
      <c r="A614" s="21"/>
      <c r="B614" s="77"/>
      <c r="C614" s="24"/>
      <c r="D614" s="14"/>
      <c r="E614" s="20"/>
      <c r="F614" s="16"/>
    </row>
    <row r="615" spans="1:6">
      <c r="A615" s="21"/>
      <c r="B615" s="77"/>
      <c r="C615" s="24"/>
      <c r="D615" s="14"/>
      <c r="E615" s="20"/>
      <c r="F615" s="16"/>
    </row>
    <row r="616" spans="1:6">
      <c r="A616" s="21"/>
      <c r="B616" s="77"/>
      <c r="C616" s="24"/>
      <c r="D616" s="14"/>
      <c r="E616" s="20"/>
      <c r="F616" s="16"/>
    </row>
    <row r="617" spans="1:6">
      <c r="A617" s="21"/>
      <c r="B617" s="96"/>
      <c r="C617" s="22"/>
      <c r="D617" s="14"/>
      <c r="E617" s="20"/>
      <c r="F617" s="16"/>
    </row>
    <row r="618" spans="1:6">
      <c r="A618" s="21"/>
      <c r="B618" s="96"/>
      <c r="C618" s="22"/>
      <c r="D618" s="14"/>
      <c r="E618" s="20"/>
      <c r="F618" s="16"/>
    </row>
    <row r="619" spans="1:6">
      <c r="A619" s="21"/>
      <c r="B619" s="96"/>
      <c r="C619" s="22"/>
      <c r="D619" s="14"/>
      <c r="E619" s="20"/>
      <c r="F619" s="16"/>
    </row>
    <row r="620" spans="1:6">
      <c r="A620" s="21"/>
      <c r="B620" s="96"/>
      <c r="C620" s="22"/>
      <c r="D620" s="14"/>
      <c r="E620" s="20"/>
      <c r="F620" s="16"/>
    </row>
  </sheetData>
  <pageMargins left="0.7" right="0.7" top="0.75" bottom="0.75" header="0.3" footer="0.3"/>
  <pageSetup scale="80" orientation="portrait" horizontalDpi="1200" verticalDpi="1200" r:id="rId1"/>
  <rowBreaks count="3" manualBreakCount="3">
    <brk id="210" max="16383" man="1"/>
    <brk id="254" max="5" man="1"/>
    <brk id="30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102" zoomScaleNormal="100" zoomScaleSheetLayoutView="102" workbookViewId="0">
      <pane xSplit="1" ySplit="1" topLeftCell="B2" activePane="bottomRight" state="frozen"/>
      <selection pane="topRight" activeCell="B1" sqref="B1"/>
      <selection pane="bottomLeft" activeCell="A2" sqref="A2"/>
      <selection pane="bottomRight" activeCell="G1" sqref="G1:H1048576"/>
    </sheetView>
  </sheetViews>
  <sheetFormatPr defaultColWidth="9.08984375" defaultRowHeight="14.5"/>
  <cols>
    <col min="1" max="1" width="7.6328125" style="258" bestFit="1" customWidth="1"/>
    <col min="2" max="2" width="48.6328125" style="258" customWidth="1"/>
    <col min="3" max="3" width="5.1796875" style="384" bestFit="1" customWidth="1"/>
    <col min="4" max="4" width="5.90625" style="384" bestFit="1" customWidth="1"/>
    <col min="5" max="5" width="8.81640625" style="384" bestFit="1" customWidth="1"/>
    <col min="6" max="6" width="13.6328125" style="385" bestFit="1" customWidth="1"/>
    <col min="7" max="16384" width="9.08984375" style="258"/>
  </cols>
  <sheetData>
    <row r="1" spans="1:6">
      <c r="A1" s="202" t="s">
        <v>0</v>
      </c>
      <c r="B1" s="203" t="s">
        <v>1</v>
      </c>
      <c r="C1" s="204" t="s">
        <v>2</v>
      </c>
      <c r="D1" s="305" t="s">
        <v>426</v>
      </c>
      <c r="E1" s="307" t="s">
        <v>368</v>
      </c>
      <c r="F1" s="313" t="s">
        <v>472</v>
      </c>
    </row>
    <row r="2" spans="1:6">
      <c r="A2" s="248"/>
      <c r="B2" s="130" t="s">
        <v>859</v>
      </c>
      <c r="C2" s="209"/>
      <c r="D2" s="279"/>
      <c r="E2" s="308"/>
      <c r="F2" s="315"/>
    </row>
    <row r="3" spans="1:6">
      <c r="A3" s="202">
        <v>11</v>
      </c>
      <c r="B3" s="212" t="s">
        <v>1665</v>
      </c>
      <c r="C3" s="209"/>
      <c r="D3" s="279"/>
      <c r="E3" s="308"/>
      <c r="F3" s="315"/>
    </row>
    <row r="4" spans="1:6">
      <c r="A4" s="266">
        <v>11.1</v>
      </c>
      <c r="B4" s="208" t="s">
        <v>596</v>
      </c>
      <c r="C4" s="232"/>
      <c r="D4" s="279"/>
      <c r="E4" s="308"/>
      <c r="F4" s="213"/>
    </row>
    <row r="5" spans="1:6">
      <c r="A5" s="261" t="s">
        <v>805</v>
      </c>
      <c r="B5" s="263" t="s">
        <v>609</v>
      </c>
      <c r="C5" s="279" t="s">
        <v>33</v>
      </c>
      <c r="D5" s="279">
        <v>46</v>
      </c>
      <c r="E5" s="308"/>
      <c r="F5" s="213">
        <f>D5*E5</f>
        <v>0</v>
      </c>
    </row>
    <row r="6" spans="1:6" ht="29">
      <c r="A6" s="261" t="s">
        <v>797</v>
      </c>
      <c r="B6" s="263" t="s">
        <v>438</v>
      </c>
      <c r="C6" s="279" t="s">
        <v>33</v>
      </c>
      <c r="D6" s="279">
        <f>D5</f>
        <v>46</v>
      </c>
      <c r="E6" s="308"/>
      <c r="F6" s="213">
        <f>D6*E6</f>
        <v>0</v>
      </c>
    </row>
    <row r="7" spans="1:6" ht="29">
      <c r="A7" s="261" t="s">
        <v>798</v>
      </c>
      <c r="B7" s="263" t="s">
        <v>592</v>
      </c>
      <c r="C7" s="279" t="s">
        <v>425</v>
      </c>
      <c r="D7" s="279">
        <v>12</v>
      </c>
      <c r="E7" s="308"/>
      <c r="F7" s="213">
        <f t="shared" ref="F7" si="0">D7*E7</f>
        <v>0</v>
      </c>
    </row>
    <row r="8" spans="1:6" ht="29">
      <c r="A8" s="261" t="s">
        <v>799</v>
      </c>
      <c r="B8" s="263" t="s">
        <v>589</v>
      </c>
      <c r="C8" s="279" t="s">
        <v>33</v>
      </c>
      <c r="D8" s="279">
        <f>CEILING(22*0.6,1)</f>
        <v>14</v>
      </c>
      <c r="E8" s="308"/>
      <c r="F8" s="213">
        <f>D8*E8</f>
        <v>0</v>
      </c>
    </row>
    <row r="9" spans="1:6">
      <c r="A9" s="261"/>
      <c r="B9" s="208" t="s">
        <v>610</v>
      </c>
      <c r="C9" s="279"/>
      <c r="D9" s="279"/>
      <c r="E9" s="308"/>
      <c r="F9" s="233"/>
    </row>
    <row r="10" spans="1:6" ht="29">
      <c r="A10" s="261" t="s">
        <v>800</v>
      </c>
      <c r="B10" s="263" t="s">
        <v>611</v>
      </c>
      <c r="C10" s="279" t="s">
        <v>33</v>
      </c>
      <c r="D10" s="279">
        <f>D5</f>
        <v>46</v>
      </c>
      <c r="E10" s="308"/>
      <c r="F10" s="213">
        <f>D10*E10</f>
        <v>0</v>
      </c>
    </row>
    <row r="11" spans="1:6" ht="29">
      <c r="A11" s="261" t="s">
        <v>801</v>
      </c>
      <c r="B11" s="263" t="s">
        <v>612</v>
      </c>
      <c r="C11" s="279" t="s">
        <v>33</v>
      </c>
      <c r="D11" s="279">
        <f>D10</f>
        <v>46</v>
      </c>
      <c r="E11" s="308"/>
      <c r="F11" s="213">
        <f>D11*E11</f>
        <v>0</v>
      </c>
    </row>
    <row r="12" spans="1:6">
      <c r="A12" s="261"/>
      <c r="B12" s="208" t="s">
        <v>35</v>
      </c>
      <c r="C12" s="232"/>
      <c r="D12" s="279"/>
      <c r="E12" s="308"/>
      <c r="F12" s="213">
        <f t="shared" ref="F12:F15" si="1">D12*E12</f>
        <v>0</v>
      </c>
    </row>
    <row r="13" spans="1:6" ht="43.5">
      <c r="A13" s="261" t="s">
        <v>802</v>
      </c>
      <c r="B13" s="263" t="s">
        <v>593</v>
      </c>
      <c r="C13" s="279" t="s">
        <v>33</v>
      </c>
      <c r="D13" s="279">
        <f>D11</f>
        <v>46</v>
      </c>
      <c r="E13" s="308"/>
      <c r="F13" s="213">
        <f t="shared" si="1"/>
        <v>0</v>
      </c>
    </row>
    <row r="14" spans="1:6">
      <c r="A14" s="261"/>
      <c r="B14" s="208" t="s">
        <v>38</v>
      </c>
      <c r="C14" s="232"/>
      <c r="D14" s="279"/>
      <c r="E14" s="308"/>
      <c r="F14" s="213">
        <f t="shared" si="1"/>
        <v>0</v>
      </c>
    </row>
    <row r="15" spans="1:6" ht="58">
      <c r="A15" s="261" t="s">
        <v>803</v>
      </c>
      <c r="B15" s="263" t="s">
        <v>613</v>
      </c>
      <c r="C15" s="279" t="s">
        <v>33</v>
      </c>
      <c r="D15" s="279">
        <f>D13</f>
        <v>46</v>
      </c>
      <c r="E15" s="308"/>
      <c r="F15" s="213">
        <f t="shared" si="1"/>
        <v>0</v>
      </c>
    </row>
    <row r="16" spans="1:6">
      <c r="A16" s="261"/>
      <c r="B16" s="208" t="s">
        <v>443</v>
      </c>
      <c r="C16" s="232"/>
      <c r="D16" s="279"/>
      <c r="E16" s="308"/>
      <c r="F16" s="213">
        <f>D16*E16</f>
        <v>0</v>
      </c>
    </row>
    <row r="17" spans="1:6">
      <c r="A17" s="261" t="s">
        <v>804</v>
      </c>
      <c r="B17" s="263" t="s">
        <v>444</v>
      </c>
      <c r="C17" s="279" t="s">
        <v>445</v>
      </c>
      <c r="D17" s="279">
        <f>22*2</f>
        <v>44</v>
      </c>
      <c r="E17" s="308"/>
      <c r="F17" s="213">
        <f>D17*E17</f>
        <v>0</v>
      </c>
    </row>
    <row r="18" spans="1:6">
      <c r="A18" s="261"/>
      <c r="B18" s="208" t="s">
        <v>446</v>
      </c>
      <c r="C18" s="279"/>
      <c r="D18" s="279"/>
      <c r="E18" s="308"/>
      <c r="F18" s="213">
        <f>D18*E18</f>
        <v>0</v>
      </c>
    </row>
    <row r="19" spans="1:6" ht="29">
      <c r="A19" s="265" t="s">
        <v>807</v>
      </c>
      <c r="B19" s="263" t="s">
        <v>447</v>
      </c>
      <c r="C19" s="279" t="s">
        <v>33</v>
      </c>
      <c r="D19" s="279">
        <f>D15</f>
        <v>46</v>
      </c>
      <c r="E19" s="308"/>
      <c r="F19" s="213">
        <f>D19*E19</f>
        <v>0</v>
      </c>
    </row>
    <row r="20" spans="1:6">
      <c r="A20" s="261"/>
      <c r="B20" s="262" t="s">
        <v>440</v>
      </c>
      <c r="C20" s="232"/>
      <c r="D20" s="279"/>
      <c r="E20" s="308"/>
      <c r="F20" s="213"/>
    </row>
    <row r="21" spans="1:6" ht="29">
      <c r="A21" s="261"/>
      <c r="B21" s="264" t="s">
        <v>236</v>
      </c>
      <c r="C21" s="232"/>
      <c r="D21" s="279"/>
      <c r="E21" s="308"/>
      <c r="F21" s="213">
        <f>D21*E21</f>
        <v>0</v>
      </c>
    </row>
    <row r="22" spans="1:6">
      <c r="A22" s="261" t="s">
        <v>808</v>
      </c>
      <c r="B22" s="263" t="s">
        <v>442</v>
      </c>
      <c r="C22" s="279" t="s">
        <v>425</v>
      </c>
      <c r="D22" s="279">
        <f>CEILING(D15*0.15,1)</f>
        <v>7</v>
      </c>
      <c r="E22" s="308"/>
      <c r="F22" s="213">
        <f>D22*E22</f>
        <v>0</v>
      </c>
    </row>
    <row r="23" spans="1:6">
      <c r="A23" s="261"/>
      <c r="B23" s="208" t="s">
        <v>485</v>
      </c>
      <c r="C23" s="204"/>
      <c r="D23" s="305"/>
      <c r="E23" s="307"/>
      <c r="F23" s="313"/>
    </row>
    <row r="24" spans="1:6">
      <c r="A24" s="261"/>
      <c r="B24" s="264" t="s">
        <v>486</v>
      </c>
      <c r="C24" s="232"/>
      <c r="D24" s="316"/>
      <c r="E24" s="308"/>
      <c r="F24" s="317">
        <f>D24*E24</f>
        <v>0</v>
      </c>
    </row>
    <row r="25" spans="1:6">
      <c r="A25" s="261" t="s">
        <v>806</v>
      </c>
      <c r="B25" s="263" t="s">
        <v>484</v>
      </c>
      <c r="C25" s="279" t="s">
        <v>33</v>
      </c>
      <c r="D25" s="316">
        <f>D19</f>
        <v>46</v>
      </c>
      <c r="E25" s="308"/>
      <c r="F25" s="317">
        <f>D25*E25</f>
        <v>0</v>
      </c>
    </row>
    <row r="26" spans="1:6">
      <c r="A26" s="265"/>
      <c r="B26" s="263"/>
      <c r="C26" s="279"/>
      <c r="D26" s="316"/>
      <c r="E26" s="308"/>
      <c r="F26" s="317"/>
    </row>
    <row r="27" spans="1:6">
      <c r="A27" s="1017"/>
      <c r="B27" s="847"/>
      <c r="C27" s="848"/>
      <c r="D27" s="1018"/>
      <c r="E27" s="850"/>
      <c r="F27" s="1019"/>
    </row>
    <row r="28" spans="1:6">
      <c r="A28" s="1017"/>
      <c r="B28" s="847"/>
      <c r="C28" s="848"/>
      <c r="D28" s="1018"/>
      <c r="E28" s="850"/>
      <c r="F28" s="1019"/>
    </row>
    <row r="29" spans="1:6">
      <c r="A29" s="1017"/>
      <c r="B29" s="847"/>
      <c r="C29" s="848"/>
      <c r="D29" s="1018"/>
      <c r="E29" s="850"/>
      <c r="F29" s="1019"/>
    </row>
    <row r="30" spans="1:6">
      <c r="A30" s="266"/>
      <c r="B30" s="262" t="s">
        <v>614</v>
      </c>
      <c r="C30" s="280"/>
      <c r="D30" s="280"/>
      <c r="E30" s="309"/>
      <c r="F30" s="267">
        <f>SUM(F4:F26)</f>
        <v>0</v>
      </c>
    </row>
    <row r="31" spans="1:6" s="989" customFormat="1">
      <c r="A31" s="268" t="s">
        <v>0</v>
      </c>
      <c r="B31" s="269" t="s">
        <v>1</v>
      </c>
      <c r="C31" s="281" t="s">
        <v>2</v>
      </c>
      <c r="D31" s="306" t="s">
        <v>426</v>
      </c>
      <c r="E31" s="310" t="s">
        <v>368</v>
      </c>
      <c r="F31" s="314" t="s">
        <v>472</v>
      </c>
    </row>
    <row r="32" spans="1:6" s="989" customFormat="1">
      <c r="A32" s="270"/>
      <c r="B32" s="271"/>
      <c r="C32" s="282"/>
      <c r="D32" s="283"/>
      <c r="E32" s="311"/>
      <c r="F32" s="272"/>
    </row>
    <row r="33" spans="1:7" s="652" customFormat="1">
      <c r="A33" s="634">
        <v>11.2</v>
      </c>
      <c r="B33" s="674" t="s">
        <v>1063</v>
      </c>
      <c r="C33" s="648"/>
      <c r="D33" s="617"/>
      <c r="E33" s="618"/>
      <c r="F33" s="683"/>
    </row>
    <row r="34" spans="1:7" s="652" customFormat="1">
      <c r="A34" s="615"/>
      <c r="B34" s="616"/>
      <c r="C34" s="648"/>
      <c r="D34" s="617"/>
      <c r="E34" s="618"/>
      <c r="F34" s="683"/>
    </row>
    <row r="35" spans="1:7" s="644" customFormat="1">
      <c r="A35" s="681"/>
      <c r="B35" s="649" t="s">
        <v>1064</v>
      </c>
      <c r="C35" s="648"/>
      <c r="D35" s="618"/>
      <c r="E35" s="648"/>
      <c r="F35" s="682"/>
    </row>
    <row r="36" spans="1:7" s="655" customFormat="1">
      <c r="A36" s="684" t="s">
        <v>809</v>
      </c>
      <c r="B36" s="685" t="s">
        <v>1666</v>
      </c>
      <c r="C36" s="686" t="s">
        <v>425</v>
      </c>
      <c r="D36" s="617">
        <v>2</v>
      </c>
      <c r="E36" s="686"/>
      <c r="F36" s="687">
        <f>E36*D36</f>
        <v>0</v>
      </c>
    </row>
    <row r="37" spans="1:7" s="644" customFormat="1">
      <c r="A37" s="681"/>
      <c r="B37" s="649" t="s">
        <v>771</v>
      </c>
      <c r="C37" s="648"/>
      <c r="D37" s="618"/>
      <c r="E37" s="648"/>
      <c r="F37" s="682"/>
    </row>
    <row r="38" spans="1:7" s="644" customFormat="1">
      <c r="A38" s="681"/>
      <c r="B38" s="649" t="s">
        <v>772</v>
      </c>
      <c r="C38" s="648"/>
      <c r="D38" s="618"/>
      <c r="E38" s="648"/>
      <c r="F38" s="682"/>
    </row>
    <row r="39" spans="1:7" s="644" customFormat="1">
      <c r="A39" s="681" t="s">
        <v>810</v>
      </c>
      <c r="B39" s="616" t="s">
        <v>1066</v>
      </c>
      <c r="C39" s="648" t="s">
        <v>19</v>
      </c>
      <c r="D39" s="617">
        <v>60</v>
      </c>
      <c r="E39" s="648"/>
      <c r="F39" s="682">
        <f>E39*D39</f>
        <v>0</v>
      </c>
    </row>
    <row r="40" spans="1:7" s="644" customFormat="1">
      <c r="A40" s="681" t="s">
        <v>811</v>
      </c>
      <c r="B40" s="616" t="s">
        <v>1067</v>
      </c>
      <c r="C40" s="648" t="s">
        <v>19</v>
      </c>
      <c r="D40" s="618">
        <v>110</v>
      </c>
      <c r="E40" s="648"/>
      <c r="F40" s="682">
        <f>E40*D40</f>
        <v>0</v>
      </c>
      <c r="G40" s="661"/>
    </row>
    <row r="41" spans="1:7" s="644" customFormat="1">
      <c r="A41" s="681"/>
      <c r="B41" s="616"/>
      <c r="C41" s="648"/>
      <c r="D41" s="618"/>
      <c r="E41" s="648"/>
      <c r="F41" s="682"/>
      <c r="G41" s="646"/>
    </row>
    <row r="42" spans="1:7" s="644" customFormat="1">
      <c r="A42" s="681"/>
      <c r="B42" s="674" t="s">
        <v>1068</v>
      </c>
      <c r="C42" s="648"/>
      <c r="D42" s="618"/>
      <c r="E42" s="648"/>
      <c r="F42" s="682"/>
    </row>
    <row r="43" spans="1:7" s="644" customFormat="1">
      <c r="A43" s="681" t="s">
        <v>812</v>
      </c>
      <c r="B43" s="616" t="s">
        <v>1667</v>
      </c>
      <c r="C43" s="648" t="s">
        <v>33</v>
      </c>
      <c r="D43" s="617">
        <v>25</v>
      </c>
      <c r="E43" s="648"/>
      <c r="F43" s="682">
        <f>D43*E43</f>
        <v>0</v>
      </c>
    </row>
    <row r="44" spans="1:7" s="658" customFormat="1">
      <c r="A44" s="635"/>
      <c r="B44" s="635" t="s">
        <v>1070</v>
      </c>
      <c r="C44" s="639"/>
      <c r="D44" s="688"/>
      <c r="E44" s="639"/>
      <c r="F44" s="689">
        <f>SUM(F36:F43)</f>
        <v>0</v>
      </c>
    </row>
    <row r="45" spans="1:7" s="658" customFormat="1">
      <c r="A45" s="635"/>
      <c r="B45" s="635"/>
      <c r="C45" s="639"/>
      <c r="D45" s="688"/>
      <c r="E45" s="639"/>
      <c r="F45" s="689"/>
    </row>
    <row r="46" spans="1:7" s="644" customFormat="1">
      <c r="A46" s="690">
        <v>11.3</v>
      </c>
      <c r="B46" s="674" t="s">
        <v>1071</v>
      </c>
      <c r="C46" s="648"/>
      <c r="D46" s="618"/>
      <c r="E46" s="648"/>
      <c r="F46" s="682"/>
    </row>
    <row r="47" spans="1:7" s="644" customFormat="1">
      <c r="A47" s="681"/>
      <c r="B47" s="649" t="s">
        <v>1072</v>
      </c>
      <c r="C47" s="648"/>
      <c r="D47" s="618"/>
      <c r="E47" s="648"/>
      <c r="F47" s="682"/>
    </row>
    <row r="48" spans="1:7" s="644" customFormat="1" ht="29">
      <c r="A48" s="681"/>
      <c r="B48" s="691" t="s">
        <v>1673</v>
      </c>
      <c r="C48" s="648"/>
      <c r="D48" s="618"/>
      <c r="E48" s="648"/>
      <c r="F48" s="682"/>
    </row>
    <row r="49" spans="1:6" s="644" customFormat="1">
      <c r="A49" s="681"/>
      <c r="B49" s="649" t="s">
        <v>52</v>
      </c>
      <c r="C49" s="648"/>
      <c r="D49" s="618"/>
      <c r="E49" s="648"/>
      <c r="F49" s="682"/>
    </row>
    <row r="50" spans="1:6" s="644" customFormat="1">
      <c r="A50" s="681"/>
      <c r="B50" s="649" t="s">
        <v>53</v>
      </c>
      <c r="C50" s="648"/>
      <c r="D50" s="618"/>
      <c r="E50" s="648"/>
      <c r="F50" s="682"/>
    </row>
    <row r="51" spans="1:6" s="644" customFormat="1">
      <c r="A51" s="681"/>
      <c r="B51" s="649" t="s">
        <v>54</v>
      </c>
      <c r="C51" s="648"/>
      <c r="D51" s="618"/>
      <c r="E51" s="648"/>
      <c r="F51" s="682"/>
    </row>
    <row r="52" spans="1:6" s="644" customFormat="1">
      <c r="A52" s="681" t="s">
        <v>813</v>
      </c>
      <c r="B52" s="616" t="s">
        <v>1668</v>
      </c>
      <c r="C52" s="648" t="s">
        <v>33</v>
      </c>
      <c r="D52" s="692">
        <f>27*3</f>
        <v>81</v>
      </c>
      <c r="E52" s="648"/>
      <c r="F52" s="682">
        <f>E52*D52</f>
        <v>0</v>
      </c>
    </row>
    <row r="53" spans="1:6" s="644" customFormat="1">
      <c r="A53" s="681" t="s">
        <v>814</v>
      </c>
      <c r="B53" s="616" t="s">
        <v>1075</v>
      </c>
      <c r="C53" s="648" t="s">
        <v>33</v>
      </c>
      <c r="D53" s="692">
        <f>15.4*3</f>
        <v>46.2</v>
      </c>
      <c r="E53" s="648"/>
      <c r="F53" s="682">
        <f>E53*D53</f>
        <v>0</v>
      </c>
    </row>
    <row r="54" spans="1:6" s="644" customFormat="1">
      <c r="A54" s="681" t="s">
        <v>1669</v>
      </c>
      <c r="B54" s="616" t="s">
        <v>1674</v>
      </c>
      <c r="C54" s="648" t="s">
        <v>33</v>
      </c>
      <c r="D54" s="692">
        <v>15</v>
      </c>
      <c r="E54" s="648"/>
      <c r="F54" s="682">
        <f>E54*D54</f>
        <v>0</v>
      </c>
    </row>
    <row r="55" spans="1:6" s="644" customFormat="1">
      <c r="A55" s="681" t="s">
        <v>1669</v>
      </c>
      <c r="B55" s="649" t="s">
        <v>1039</v>
      </c>
      <c r="C55" s="648"/>
      <c r="D55" s="618"/>
      <c r="E55" s="648"/>
      <c r="F55" s="682"/>
    </row>
    <row r="56" spans="1:6" s="644" customFormat="1">
      <c r="A56" s="681" t="s">
        <v>1670</v>
      </c>
      <c r="B56" s="616" t="s">
        <v>1040</v>
      </c>
      <c r="C56" s="648" t="s">
        <v>50</v>
      </c>
      <c r="D56" s="692">
        <f>27+12</f>
        <v>39</v>
      </c>
      <c r="E56" s="648"/>
      <c r="F56" s="682">
        <f>E56*D56</f>
        <v>0</v>
      </c>
    </row>
    <row r="57" spans="1:6" s="644" customFormat="1" ht="29">
      <c r="A57" s="681"/>
      <c r="B57" s="635" t="s">
        <v>1076</v>
      </c>
      <c r="C57" s="639"/>
      <c r="D57" s="618"/>
      <c r="E57" s="648"/>
      <c r="F57" s="689">
        <f>SUM(F47:F56)</f>
        <v>0</v>
      </c>
    </row>
    <row r="58" spans="1:6" s="644" customFormat="1">
      <c r="A58" s="681"/>
      <c r="B58" s="635"/>
      <c r="C58" s="639"/>
      <c r="D58" s="618"/>
      <c r="E58" s="648"/>
      <c r="F58" s="689"/>
    </row>
    <row r="59" spans="1:6">
      <c r="A59" s="318">
        <v>11.4</v>
      </c>
      <c r="B59" s="674" t="s">
        <v>1671</v>
      </c>
      <c r="C59" s="324"/>
      <c r="D59" s="324"/>
      <c r="E59" s="319"/>
      <c r="F59" s="320"/>
    </row>
    <row r="60" spans="1:6" ht="29">
      <c r="A60" s="322"/>
      <c r="B60" s="321" t="s">
        <v>496</v>
      </c>
      <c r="C60" s="328" t="s">
        <v>34</v>
      </c>
      <c r="D60" s="328"/>
      <c r="E60" s="328"/>
      <c r="F60" s="320"/>
    </row>
    <row r="61" spans="1:6" ht="29">
      <c r="A61" s="322" t="s">
        <v>815</v>
      </c>
      <c r="B61" s="323" t="s">
        <v>497</v>
      </c>
      <c r="C61" s="324" t="s">
        <v>33</v>
      </c>
      <c r="D61" s="319">
        <v>32</v>
      </c>
      <c r="E61" s="319"/>
      <c r="F61" s="320">
        <f>D61*E61</f>
        <v>0</v>
      </c>
    </row>
    <row r="62" spans="1:6">
      <c r="A62" s="322" t="s">
        <v>816</v>
      </c>
      <c r="B62" s="329" t="s">
        <v>707</v>
      </c>
      <c r="C62" s="328" t="s">
        <v>50</v>
      </c>
      <c r="D62" s="328">
        <f>25*4</f>
        <v>100</v>
      </c>
      <c r="E62" s="328"/>
      <c r="F62" s="320">
        <f t="shared" ref="F62:F66" si="2">D62*E62</f>
        <v>0</v>
      </c>
    </row>
    <row r="63" spans="1:6">
      <c r="A63" s="322" t="s">
        <v>817</v>
      </c>
      <c r="B63" s="329" t="s">
        <v>708</v>
      </c>
      <c r="C63" s="328" t="s">
        <v>50</v>
      </c>
      <c r="D63" s="328">
        <v>76</v>
      </c>
      <c r="E63" s="328"/>
      <c r="F63" s="320">
        <f t="shared" si="2"/>
        <v>0</v>
      </c>
    </row>
    <row r="64" spans="1:6">
      <c r="A64" s="322" t="s">
        <v>818</v>
      </c>
      <c r="B64" s="329" t="s">
        <v>382</v>
      </c>
      <c r="C64" s="328" t="s">
        <v>50</v>
      </c>
      <c r="D64" s="328">
        <f>6.8*2+6.7*2</f>
        <v>27</v>
      </c>
      <c r="E64" s="328"/>
      <c r="F64" s="320">
        <f t="shared" si="2"/>
        <v>0</v>
      </c>
    </row>
    <row r="65" spans="1:6">
      <c r="A65" s="322" t="s">
        <v>819</v>
      </c>
      <c r="B65" s="329" t="s">
        <v>383</v>
      </c>
      <c r="C65" s="328" t="s">
        <v>50</v>
      </c>
      <c r="D65" s="328">
        <v>14</v>
      </c>
      <c r="E65" s="328"/>
      <c r="F65" s="320">
        <f t="shared" si="2"/>
        <v>0</v>
      </c>
    </row>
    <row r="66" spans="1:6">
      <c r="A66" s="322" t="s">
        <v>820</v>
      </c>
      <c r="B66" s="329" t="s">
        <v>1735</v>
      </c>
      <c r="C66" s="328" t="s">
        <v>50</v>
      </c>
      <c r="D66" s="328">
        <v>7</v>
      </c>
      <c r="E66" s="328"/>
      <c r="F66" s="320">
        <f t="shared" si="2"/>
        <v>0</v>
      </c>
    </row>
    <row r="67" spans="1:6">
      <c r="A67" s="322"/>
      <c r="B67" s="330" t="s">
        <v>388</v>
      </c>
      <c r="C67" s="328" t="s">
        <v>34</v>
      </c>
      <c r="D67" s="328" t="s">
        <v>34</v>
      </c>
      <c r="E67" s="328"/>
      <c r="F67" s="332"/>
    </row>
    <row r="68" spans="1:6">
      <c r="A68" s="322" t="s">
        <v>821</v>
      </c>
      <c r="B68" s="329" t="s">
        <v>389</v>
      </c>
      <c r="C68" s="328" t="s">
        <v>34</v>
      </c>
      <c r="D68" s="328" t="s">
        <v>34</v>
      </c>
      <c r="E68" s="328"/>
      <c r="F68" s="332"/>
    </row>
    <row r="69" spans="1:6">
      <c r="A69" s="322" t="s">
        <v>822</v>
      </c>
      <c r="B69" s="329" t="s">
        <v>390</v>
      </c>
      <c r="C69" s="328" t="s">
        <v>33</v>
      </c>
      <c r="D69" s="328">
        <f>CEILING(77.3-58,1)</f>
        <v>20</v>
      </c>
      <c r="E69" s="328"/>
      <c r="F69" s="332">
        <f t="shared" ref="F69:F91" si="3">E69*D69</f>
        <v>0</v>
      </c>
    </row>
    <row r="70" spans="1:6">
      <c r="A70" s="322" t="s">
        <v>823</v>
      </c>
      <c r="B70" s="329" t="s">
        <v>391</v>
      </c>
      <c r="C70" s="328" t="s">
        <v>50</v>
      </c>
      <c r="D70" s="328">
        <v>42</v>
      </c>
      <c r="E70" s="328"/>
      <c r="F70" s="332">
        <f t="shared" si="3"/>
        <v>0</v>
      </c>
    </row>
    <row r="71" spans="1:6">
      <c r="A71" s="202" t="s">
        <v>0</v>
      </c>
      <c r="B71" s="203" t="s">
        <v>1</v>
      </c>
      <c r="C71" s="204" t="s">
        <v>2</v>
      </c>
      <c r="D71" s="305" t="s">
        <v>426</v>
      </c>
      <c r="E71" s="307" t="s">
        <v>368</v>
      </c>
      <c r="F71" s="313" t="s">
        <v>472</v>
      </c>
    </row>
    <row r="72" spans="1:6">
      <c r="A72" s="322"/>
      <c r="B72" s="321" t="s">
        <v>392</v>
      </c>
      <c r="C72" s="328" t="s">
        <v>34</v>
      </c>
      <c r="D72" s="328" t="s">
        <v>34</v>
      </c>
      <c r="E72" s="328"/>
      <c r="F72" s="332"/>
    </row>
    <row r="73" spans="1:6" ht="29">
      <c r="A73" s="322" t="s">
        <v>824</v>
      </c>
      <c r="B73" s="329" t="s">
        <v>393</v>
      </c>
      <c r="C73" s="328" t="s">
        <v>33</v>
      </c>
      <c r="D73" s="328">
        <f>D69</f>
        <v>20</v>
      </c>
      <c r="E73" s="328"/>
      <c r="F73" s="332">
        <f t="shared" si="3"/>
        <v>0</v>
      </c>
    </row>
    <row r="74" spans="1:6" ht="29">
      <c r="A74" s="322" t="s">
        <v>825</v>
      </c>
      <c r="B74" s="329" t="s">
        <v>394</v>
      </c>
      <c r="C74" s="328" t="s">
        <v>50</v>
      </c>
      <c r="D74" s="328">
        <f>D70</f>
        <v>42</v>
      </c>
      <c r="E74" s="328"/>
      <c r="F74" s="332">
        <f t="shared" si="3"/>
        <v>0</v>
      </c>
    </row>
    <row r="75" spans="1:6">
      <c r="A75" s="322"/>
      <c r="B75" s="330" t="s">
        <v>498</v>
      </c>
      <c r="C75" s="328" t="s">
        <v>34</v>
      </c>
      <c r="D75" s="328" t="s">
        <v>34</v>
      </c>
      <c r="E75" s="328"/>
      <c r="F75" s="332"/>
    </row>
    <row r="76" spans="1:6" ht="29">
      <c r="A76" s="322" t="s">
        <v>826</v>
      </c>
      <c r="B76" s="329" t="s">
        <v>398</v>
      </c>
      <c r="C76" s="328" t="s">
        <v>50</v>
      </c>
      <c r="D76" s="328">
        <f>2*3</f>
        <v>6</v>
      </c>
      <c r="E76" s="328"/>
      <c r="F76" s="332">
        <f t="shared" si="3"/>
        <v>0</v>
      </c>
    </row>
    <row r="77" spans="1:6" s="1010" customFormat="1">
      <c r="A77" s="318"/>
      <c r="B77" s="330" t="s">
        <v>1734</v>
      </c>
      <c r="C77" s="333"/>
      <c r="D77" s="333"/>
      <c r="E77" s="333"/>
      <c r="F77" s="331">
        <f>SUM(F60:F76)</f>
        <v>0</v>
      </c>
    </row>
    <row r="78" spans="1:6">
      <c r="A78" s="1015"/>
      <c r="B78" s="589"/>
      <c r="C78" s="1016"/>
      <c r="D78" s="1016"/>
      <c r="E78" s="1016"/>
      <c r="F78" s="998"/>
    </row>
    <row r="79" spans="1:6">
      <c r="A79" s="993">
        <v>11.5</v>
      </c>
      <c r="B79" s="674" t="s">
        <v>1677</v>
      </c>
      <c r="C79" s="334"/>
      <c r="D79" s="327"/>
      <c r="E79" s="327"/>
      <c r="F79" s="332">
        <f t="shared" si="3"/>
        <v>0</v>
      </c>
    </row>
    <row r="80" spans="1:6" ht="29">
      <c r="A80" s="322" t="s">
        <v>1678</v>
      </c>
      <c r="B80" s="329" t="s">
        <v>1672</v>
      </c>
      <c r="C80" s="335" t="s">
        <v>387</v>
      </c>
      <c r="D80" s="335">
        <v>8</v>
      </c>
      <c r="E80" s="335"/>
      <c r="F80" s="332">
        <f t="shared" si="3"/>
        <v>0</v>
      </c>
    </row>
    <row r="81" spans="1:6">
      <c r="A81" s="322"/>
      <c r="B81" s="330" t="s">
        <v>509</v>
      </c>
      <c r="C81" s="335" t="s">
        <v>34</v>
      </c>
      <c r="D81" s="335" t="s">
        <v>34</v>
      </c>
      <c r="E81" s="335"/>
      <c r="F81" s="332"/>
    </row>
    <row r="82" spans="1:6" ht="29">
      <c r="A82" s="322" t="s">
        <v>1679</v>
      </c>
      <c r="B82" s="329" t="s">
        <v>510</v>
      </c>
      <c r="C82" s="335" t="s">
        <v>146</v>
      </c>
      <c r="D82" s="335" t="s">
        <v>439</v>
      </c>
      <c r="E82" s="335"/>
      <c r="F82" s="332">
        <f>E82</f>
        <v>0</v>
      </c>
    </row>
    <row r="83" spans="1:6">
      <c r="A83" s="338"/>
      <c r="B83" s="325" t="s">
        <v>520</v>
      </c>
      <c r="C83" s="339"/>
      <c r="D83" s="327"/>
      <c r="E83" s="327"/>
      <c r="F83" s="332"/>
    </row>
    <row r="84" spans="1:6" ht="29">
      <c r="A84" s="338" t="s">
        <v>1680</v>
      </c>
      <c r="B84" s="323" t="s">
        <v>1675</v>
      </c>
      <c r="C84" s="326" t="s">
        <v>12</v>
      </c>
      <c r="D84" s="319">
        <v>8</v>
      </c>
      <c r="E84" s="319"/>
      <c r="F84" s="332">
        <f t="shared" si="3"/>
        <v>0</v>
      </c>
    </row>
    <row r="85" spans="1:6" s="1010" customFormat="1">
      <c r="A85" s="1003"/>
      <c r="B85" s="970" t="s">
        <v>1733</v>
      </c>
      <c r="C85" s="971"/>
      <c r="D85" s="1004"/>
      <c r="E85" s="1004"/>
      <c r="F85" s="1014">
        <f>SUM(F80:F84)</f>
        <v>0</v>
      </c>
    </row>
    <row r="86" spans="1:6">
      <c r="A86" s="994"/>
      <c r="B86" s="995"/>
      <c r="C86" s="996"/>
      <c r="D86" s="997"/>
      <c r="E86" s="997"/>
      <c r="F86" s="998"/>
    </row>
    <row r="87" spans="1:6">
      <c r="A87" s="1002">
        <v>11.6</v>
      </c>
      <c r="B87" s="674" t="s">
        <v>1681</v>
      </c>
      <c r="C87" s="339"/>
      <c r="D87" s="327"/>
      <c r="E87" s="327"/>
      <c r="F87" s="332">
        <f t="shared" si="3"/>
        <v>0</v>
      </c>
    </row>
    <row r="88" spans="1:6">
      <c r="A88" s="1003"/>
      <c r="B88" s="674" t="s">
        <v>18</v>
      </c>
      <c r="C88" s="971"/>
      <c r="D88" s="1004"/>
      <c r="E88" s="1004"/>
      <c r="F88" s="998"/>
    </row>
    <row r="89" spans="1:6">
      <c r="A89" s="340"/>
      <c r="B89" s="341" t="s">
        <v>512</v>
      </c>
      <c r="C89" s="342"/>
      <c r="D89" s="343"/>
      <c r="E89" s="343"/>
      <c r="F89" s="332">
        <f t="shared" si="3"/>
        <v>0</v>
      </c>
    </row>
    <row r="90" spans="1:6" ht="29">
      <c r="A90" s="338" t="s">
        <v>1682</v>
      </c>
      <c r="B90" s="344" t="s">
        <v>615</v>
      </c>
      <c r="C90" s="342" t="s">
        <v>33</v>
      </c>
      <c r="D90" s="345">
        <f>D25</f>
        <v>46</v>
      </c>
      <c r="E90" s="343"/>
      <c r="F90" s="332">
        <f t="shared" si="3"/>
        <v>0</v>
      </c>
    </row>
    <row r="91" spans="1:6">
      <c r="A91" s="338"/>
      <c r="B91" s="341" t="s">
        <v>616</v>
      </c>
      <c r="C91" s="342"/>
      <c r="D91" s="343"/>
      <c r="E91" s="343"/>
      <c r="F91" s="332">
        <f t="shared" si="3"/>
        <v>0</v>
      </c>
    </row>
    <row r="92" spans="1:6" ht="29">
      <c r="A92" s="338" t="s">
        <v>1683</v>
      </c>
      <c r="B92" s="344" t="s">
        <v>617</v>
      </c>
      <c r="C92" s="342" t="s">
        <v>33</v>
      </c>
      <c r="D92" s="345">
        <f>D90</f>
        <v>46</v>
      </c>
      <c r="E92" s="343"/>
      <c r="F92" s="332">
        <f>E92*D92</f>
        <v>0</v>
      </c>
    </row>
    <row r="93" spans="1:6">
      <c r="A93" s="994"/>
      <c r="B93" s="999"/>
      <c r="C93" s="598"/>
      <c r="D93" s="1000"/>
      <c r="E93" s="1001"/>
      <c r="F93" s="998"/>
    </row>
    <row r="94" spans="1:6">
      <c r="A94" s="994"/>
      <c r="B94" s="1005" t="s">
        <v>1684</v>
      </c>
      <c r="C94" s="598"/>
      <c r="D94" s="1000"/>
      <c r="E94" s="1001"/>
      <c r="F94" s="998"/>
    </row>
    <row r="95" spans="1:6" s="644" customFormat="1">
      <c r="A95" s="681"/>
      <c r="B95" s="649" t="s">
        <v>55</v>
      </c>
      <c r="C95" s="648"/>
      <c r="D95" s="617"/>
      <c r="E95" s="648"/>
      <c r="F95" s="682"/>
    </row>
    <row r="96" spans="1:6" s="644" customFormat="1">
      <c r="A96" s="681"/>
      <c r="B96" s="649" t="s">
        <v>56</v>
      </c>
      <c r="C96" s="648"/>
      <c r="D96" s="617"/>
      <c r="E96" s="648"/>
      <c r="F96" s="682"/>
    </row>
    <row r="97" spans="1:6" s="644" customFormat="1">
      <c r="A97" s="678" t="s">
        <v>1685</v>
      </c>
      <c r="B97" s="616" t="s">
        <v>949</v>
      </c>
      <c r="C97" s="648" t="s">
        <v>33</v>
      </c>
      <c r="D97" s="617">
        <f>D52</f>
        <v>81</v>
      </c>
      <c r="E97" s="648"/>
      <c r="F97" s="682">
        <f>E97*D97</f>
        <v>0</v>
      </c>
    </row>
    <row r="98" spans="1:6" s="644" customFormat="1">
      <c r="A98" s="678"/>
      <c r="B98" s="649" t="s">
        <v>1041</v>
      </c>
      <c r="C98" s="648"/>
      <c r="D98" s="617"/>
      <c r="E98" s="648"/>
      <c r="F98" s="682"/>
    </row>
    <row r="99" spans="1:6" s="644" customFormat="1">
      <c r="A99" s="678" t="s">
        <v>1686</v>
      </c>
      <c r="B99" s="616" t="s">
        <v>1687</v>
      </c>
      <c r="C99" s="648" t="s">
        <v>33</v>
      </c>
      <c r="D99" s="617">
        <f>D97+D53*2</f>
        <v>173.4</v>
      </c>
      <c r="E99" s="648"/>
      <c r="F99" s="682">
        <f>E99*D99</f>
        <v>0</v>
      </c>
    </row>
    <row r="100" spans="1:6">
      <c r="A100" s="994"/>
      <c r="B100" s="999"/>
      <c r="C100" s="598"/>
      <c r="D100" s="1000"/>
      <c r="E100" s="1001"/>
      <c r="F100" s="998"/>
    </row>
    <row r="101" spans="1:6">
      <c r="A101" s="994"/>
      <c r="B101" s="999"/>
      <c r="C101" s="598"/>
      <c r="D101" s="1000"/>
      <c r="E101" s="1001"/>
      <c r="F101" s="998"/>
    </row>
    <row r="102" spans="1:6">
      <c r="A102" s="994"/>
      <c r="B102" s="999"/>
      <c r="C102" s="598"/>
      <c r="D102" s="1000"/>
      <c r="E102" s="1001"/>
      <c r="F102" s="998"/>
    </row>
    <row r="103" spans="1:6">
      <c r="A103" s="994"/>
      <c r="B103" s="999"/>
      <c r="C103" s="598"/>
      <c r="D103" s="1000"/>
      <c r="E103" s="1001"/>
      <c r="F103" s="998"/>
    </row>
    <row r="104" spans="1:6">
      <c r="A104" s="994"/>
      <c r="B104" s="999"/>
      <c r="C104" s="598"/>
      <c r="D104" s="1000"/>
      <c r="E104" s="1001"/>
      <c r="F104" s="998"/>
    </row>
    <row r="105" spans="1:6">
      <c r="A105" s="994"/>
      <c r="B105" s="999"/>
      <c r="C105" s="598"/>
      <c r="D105" s="1000"/>
      <c r="E105" s="1001"/>
      <c r="F105" s="998"/>
    </row>
    <row r="106" spans="1:6">
      <c r="A106" s="994"/>
      <c r="B106" s="999"/>
      <c r="C106" s="598"/>
      <c r="D106" s="1000"/>
      <c r="E106" s="1001"/>
      <c r="F106" s="998"/>
    </row>
    <row r="107" spans="1:6">
      <c r="A107" s="994"/>
      <c r="B107" s="999"/>
      <c r="C107" s="598"/>
      <c r="D107" s="1000"/>
      <c r="E107" s="1001"/>
      <c r="F107" s="998"/>
    </row>
    <row r="108" spans="1:6">
      <c r="A108" s="1246"/>
      <c r="B108" s="1247"/>
      <c r="C108" s="1248"/>
      <c r="D108" s="1249"/>
      <c r="E108" s="1250"/>
      <c r="F108" s="1251"/>
    </row>
    <row r="109" spans="1:6">
      <c r="A109" s="268"/>
      <c r="B109" s="346" t="s">
        <v>618</v>
      </c>
      <c r="C109" s="281"/>
      <c r="D109" s="347"/>
      <c r="E109" s="347"/>
      <c r="F109" s="331">
        <f>SUM(F89:F99)</f>
        <v>0</v>
      </c>
    </row>
    <row r="110" spans="1:6">
      <c r="A110" s="268" t="s">
        <v>0</v>
      </c>
      <c r="B110" s="269" t="s">
        <v>1</v>
      </c>
      <c r="C110" s="281" t="s">
        <v>2</v>
      </c>
      <c r="D110" s="306" t="s">
        <v>426</v>
      </c>
      <c r="E110" s="310" t="s">
        <v>368</v>
      </c>
      <c r="F110" s="314" t="s">
        <v>472</v>
      </c>
    </row>
    <row r="111" spans="1:6" ht="22.75" customHeight="1">
      <c r="A111" s="268">
        <v>11.7</v>
      </c>
      <c r="B111" s="201" t="s">
        <v>1688</v>
      </c>
      <c r="C111" s="284"/>
      <c r="D111" s="312"/>
      <c r="E111" s="284"/>
      <c r="F111" s="272"/>
    </row>
    <row r="112" spans="1:6">
      <c r="A112" s="270"/>
      <c r="B112" s="348"/>
      <c r="C112" s="349"/>
      <c r="D112" s="350"/>
      <c r="E112" s="351"/>
      <c r="F112" s="337">
        <f t="shared" ref="F112:F122" si="4">E112*D112</f>
        <v>0</v>
      </c>
    </row>
    <row r="113" spans="1:6">
      <c r="A113" s="352"/>
      <c r="B113" s="348" t="s">
        <v>193</v>
      </c>
      <c r="C113" s="284"/>
      <c r="D113" s="312"/>
      <c r="E113" s="284"/>
      <c r="F113" s="337">
        <f t="shared" si="4"/>
        <v>0</v>
      </c>
    </row>
    <row r="114" spans="1:6" ht="58">
      <c r="A114" s="352"/>
      <c r="B114" s="353" t="s">
        <v>479</v>
      </c>
      <c r="C114" s="285"/>
      <c r="D114" s="312"/>
      <c r="E114" s="284"/>
      <c r="F114" s="337">
        <f t="shared" si="4"/>
        <v>0</v>
      </c>
    </row>
    <row r="115" spans="1:6">
      <c r="A115" s="352" t="s">
        <v>1689</v>
      </c>
      <c r="B115" s="354" t="s">
        <v>1676</v>
      </c>
      <c r="C115" s="285" t="s">
        <v>5</v>
      </c>
      <c r="D115" s="285">
        <v>8</v>
      </c>
      <c r="E115" s="284"/>
      <c r="F115" s="337">
        <f t="shared" si="4"/>
        <v>0</v>
      </c>
    </row>
    <row r="116" spans="1:6">
      <c r="A116" s="352"/>
      <c r="B116" s="355" t="s">
        <v>198</v>
      </c>
      <c r="C116" s="285"/>
      <c r="D116" s="285"/>
      <c r="E116" s="284"/>
      <c r="F116" s="337">
        <f t="shared" si="4"/>
        <v>0</v>
      </c>
    </row>
    <row r="117" spans="1:6">
      <c r="A117" s="352" t="s">
        <v>1690</v>
      </c>
      <c r="B117" s="354" t="s">
        <v>269</v>
      </c>
      <c r="C117" s="285" t="s">
        <v>12</v>
      </c>
      <c r="D117" s="285">
        <f>D115</f>
        <v>8</v>
      </c>
      <c r="E117" s="284"/>
      <c r="F117" s="337">
        <f t="shared" si="4"/>
        <v>0</v>
      </c>
    </row>
    <row r="118" spans="1:6">
      <c r="A118" s="352"/>
      <c r="B118" s="201" t="s">
        <v>199</v>
      </c>
      <c r="C118" s="284"/>
      <c r="D118" s="312"/>
      <c r="E118" s="284"/>
      <c r="F118" s="337">
        <f t="shared" si="4"/>
        <v>0</v>
      </c>
    </row>
    <row r="119" spans="1:6">
      <c r="A119" s="352"/>
      <c r="B119" s="355" t="s">
        <v>514</v>
      </c>
      <c r="C119" s="284"/>
      <c r="D119" s="312"/>
      <c r="E119" s="284"/>
      <c r="F119" s="337">
        <f t="shared" si="4"/>
        <v>0</v>
      </c>
    </row>
    <row r="120" spans="1:6" ht="75.650000000000006" customHeight="1">
      <c r="A120" s="352"/>
      <c r="B120" s="354" t="s">
        <v>620</v>
      </c>
      <c r="C120" s="285"/>
      <c r="D120" s="312"/>
      <c r="E120" s="284"/>
      <c r="F120" s="337">
        <f t="shared" si="4"/>
        <v>0</v>
      </c>
    </row>
    <row r="121" spans="1:6">
      <c r="A121" s="352" t="s">
        <v>1691</v>
      </c>
      <c r="B121" s="356" t="s">
        <v>516</v>
      </c>
      <c r="C121" s="285" t="s">
        <v>4</v>
      </c>
      <c r="D121" s="285">
        <v>80</v>
      </c>
      <c r="E121" s="284"/>
      <c r="F121" s="337">
        <f t="shared" si="4"/>
        <v>0</v>
      </c>
    </row>
    <row r="122" spans="1:6" ht="43.5">
      <c r="A122" s="273"/>
      <c r="B122" s="274" t="s">
        <v>621</v>
      </c>
      <c r="C122" s="336"/>
      <c r="D122" s="312"/>
      <c r="E122" s="284"/>
      <c r="F122" s="337">
        <f t="shared" si="4"/>
        <v>0</v>
      </c>
    </row>
    <row r="123" spans="1:6">
      <c r="A123" s="270"/>
      <c r="B123" s="271" t="s">
        <v>622</v>
      </c>
      <c r="C123" s="357"/>
      <c r="D123" s="311"/>
      <c r="E123" s="282"/>
      <c r="F123" s="358">
        <f>SUM(F114:F122)</f>
        <v>0</v>
      </c>
    </row>
    <row r="124" spans="1:6">
      <c r="A124" s="270"/>
      <c r="B124" s="271"/>
      <c r="C124" s="357"/>
      <c r="D124" s="311"/>
      <c r="E124" s="282"/>
      <c r="F124" s="358"/>
    </row>
    <row r="125" spans="1:6">
      <c r="A125" s="277">
        <v>11.8</v>
      </c>
      <c r="B125" s="201" t="s">
        <v>1692</v>
      </c>
      <c r="C125" s="359"/>
      <c r="D125" s="360"/>
      <c r="E125" s="359"/>
      <c r="F125" s="314"/>
    </row>
    <row r="126" spans="1:6">
      <c r="A126" s="278" t="s">
        <v>34</v>
      </c>
      <c r="B126" s="356" t="s">
        <v>709</v>
      </c>
      <c r="C126" s="359" t="s">
        <v>34</v>
      </c>
      <c r="D126" s="360" t="s">
        <v>34</v>
      </c>
      <c r="E126" s="359"/>
      <c r="F126" s="361" t="s">
        <v>34</v>
      </c>
    </row>
    <row r="127" spans="1:6">
      <c r="A127" s="278" t="s">
        <v>34</v>
      </c>
      <c r="B127" s="356" t="s">
        <v>710</v>
      </c>
      <c r="C127" s="359"/>
      <c r="D127" s="360"/>
      <c r="E127" s="359"/>
      <c r="F127" s="361"/>
    </row>
    <row r="128" spans="1:6" ht="58">
      <c r="A128" s="278"/>
      <c r="B128" s="356" t="s">
        <v>711</v>
      </c>
      <c r="C128" s="359"/>
      <c r="D128" s="360"/>
      <c r="E128" s="359"/>
      <c r="F128" s="361"/>
    </row>
    <row r="129" spans="1:6">
      <c r="A129" s="278" t="s">
        <v>1693</v>
      </c>
      <c r="B129" s="356" t="s">
        <v>712</v>
      </c>
      <c r="C129" s="359" t="s">
        <v>449</v>
      </c>
      <c r="D129" s="360">
        <f>CEILING(58.2+12*2,1)</f>
        <v>83</v>
      </c>
      <c r="E129" s="359"/>
      <c r="F129" s="361">
        <f t="shared" ref="F129:F138" si="5">E129*D129</f>
        <v>0</v>
      </c>
    </row>
    <row r="130" spans="1:6">
      <c r="A130" s="278" t="s">
        <v>34</v>
      </c>
      <c r="B130" s="356" t="s">
        <v>713</v>
      </c>
      <c r="C130" s="359" t="s">
        <v>34</v>
      </c>
      <c r="D130" s="360" t="s">
        <v>34</v>
      </c>
      <c r="E130" s="359"/>
      <c r="F130" s="361"/>
    </row>
    <row r="131" spans="1:6">
      <c r="A131" s="278" t="s">
        <v>34</v>
      </c>
      <c r="B131" s="1011" t="s">
        <v>714</v>
      </c>
      <c r="C131" s="359" t="s">
        <v>34</v>
      </c>
      <c r="D131" s="360" t="s">
        <v>34</v>
      </c>
      <c r="E131" s="359"/>
      <c r="F131" s="361"/>
    </row>
    <row r="132" spans="1:6">
      <c r="A132" s="278" t="s">
        <v>1694</v>
      </c>
      <c r="B132" s="356" t="s">
        <v>715</v>
      </c>
      <c r="C132" s="359" t="s">
        <v>387</v>
      </c>
      <c r="D132" s="360">
        <v>8</v>
      </c>
      <c r="E132" s="359"/>
      <c r="F132" s="361">
        <f t="shared" si="5"/>
        <v>0</v>
      </c>
    </row>
    <row r="133" spans="1:6">
      <c r="A133" s="278" t="s">
        <v>34</v>
      </c>
      <c r="B133" s="1011" t="s">
        <v>716</v>
      </c>
      <c r="C133" s="359" t="s">
        <v>34</v>
      </c>
      <c r="D133" s="360" t="s">
        <v>34</v>
      </c>
      <c r="E133" s="359"/>
      <c r="F133" s="361"/>
    </row>
    <row r="134" spans="1:6">
      <c r="A134" s="278" t="s">
        <v>1695</v>
      </c>
      <c r="B134" s="356" t="s">
        <v>715</v>
      </c>
      <c r="C134" s="359" t="s">
        <v>387</v>
      </c>
      <c r="D134" s="360">
        <v>8</v>
      </c>
      <c r="E134" s="359"/>
      <c r="F134" s="361">
        <f t="shared" si="5"/>
        <v>0</v>
      </c>
    </row>
    <row r="135" spans="1:6">
      <c r="A135" s="278" t="s">
        <v>34</v>
      </c>
      <c r="B135" s="1011" t="s">
        <v>717</v>
      </c>
      <c r="C135" s="359" t="s">
        <v>34</v>
      </c>
      <c r="D135" s="360" t="s">
        <v>34</v>
      </c>
      <c r="E135" s="359"/>
      <c r="F135" s="361"/>
    </row>
    <row r="136" spans="1:6">
      <c r="A136" s="278" t="s">
        <v>1696</v>
      </c>
      <c r="B136" s="356" t="s">
        <v>718</v>
      </c>
      <c r="C136" s="359" t="s">
        <v>387</v>
      </c>
      <c r="D136" s="360">
        <v>1</v>
      </c>
      <c r="E136" s="359"/>
      <c r="F136" s="361">
        <f t="shared" si="5"/>
        <v>0</v>
      </c>
    </row>
    <row r="137" spans="1:6" ht="43.5">
      <c r="A137" s="278" t="s">
        <v>1697</v>
      </c>
      <c r="B137" s="356" t="s">
        <v>719</v>
      </c>
      <c r="C137" s="359" t="s">
        <v>720</v>
      </c>
      <c r="D137" s="360">
        <v>1</v>
      </c>
      <c r="E137" s="359"/>
      <c r="F137" s="361">
        <f t="shared" si="5"/>
        <v>0</v>
      </c>
    </row>
    <row r="138" spans="1:6" ht="29">
      <c r="A138" s="278" t="s">
        <v>1698</v>
      </c>
      <c r="B138" s="356" t="s">
        <v>1720</v>
      </c>
      <c r="C138" s="359" t="s">
        <v>5</v>
      </c>
      <c r="D138" s="360">
        <v>1</v>
      </c>
      <c r="E138" s="359"/>
      <c r="F138" s="361">
        <f t="shared" si="5"/>
        <v>0</v>
      </c>
    </row>
    <row r="139" spans="1:6">
      <c r="A139" s="278"/>
      <c r="B139" s="356"/>
      <c r="C139" s="359"/>
      <c r="D139" s="360"/>
      <c r="E139" s="359"/>
      <c r="F139" s="361"/>
    </row>
    <row r="140" spans="1:6">
      <c r="A140" s="202" t="s">
        <v>0</v>
      </c>
      <c r="B140" s="203" t="s">
        <v>1</v>
      </c>
      <c r="C140" s="204" t="s">
        <v>2</v>
      </c>
      <c r="D140" s="305" t="s">
        <v>426</v>
      </c>
      <c r="E140" s="307" t="s">
        <v>368</v>
      </c>
      <c r="F140" s="313" t="s">
        <v>472</v>
      </c>
    </row>
    <row r="141" spans="1:6">
      <c r="A141" s="278" t="s">
        <v>34</v>
      </c>
      <c r="B141" s="386" t="s">
        <v>721</v>
      </c>
      <c r="C141" s="363" t="s">
        <v>34</v>
      </c>
      <c r="D141" s="364" t="s">
        <v>34</v>
      </c>
      <c r="E141" s="363"/>
      <c r="F141" s="365" t="s">
        <v>722</v>
      </c>
    </row>
    <row r="142" spans="1:6" ht="145">
      <c r="A142" s="278" t="s">
        <v>34</v>
      </c>
      <c r="B142" s="362" t="s">
        <v>723</v>
      </c>
      <c r="C142" s="363"/>
      <c r="D142" s="364"/>
      <c r="E142" s="363"/>
      <c r="F142" s="365"/>
    </row>
    <row r="143" spans="1:6">
      <c r="A143" s="278" t="s">
        <v>1699</v>
      </c>
      <c r="B143" s="362" t="s">
        <v>724</v>
      </c>
      <c r="C143" s="363" t="s">
        <v>725</v>
      </c>
      <c r="D143" s="532">
        <v>97</v>
      </c>
      <c r="E143" s="363"/>
      <c r="F143" s="365">
        <f t="shared" ref="F143:F146" si="6">E143*D143</f>
        <v>0</v>
      </c>
    </row>
    <row r="144" spans="1:6">
      <c r="A144" s="278" t="s">
        <v>1696</v>
      </c>
      <c r="B144" s="362" t="s">
        <v>726</v>
      </c>
      <c r="C144" s="363" t="s">
        <v>725</v>
      </c>
      <c r="D144" s="532">
        <v>9</v>
      </c>
      <c r="E144" s="363"/>
      <c r="F144" s="365">
        <f t="shared" si="6"/>
        <v>0</v>
      </c>
    </row>
    <row r="145" spans="1:6">
      <c r="A145" s="278" t="s">
        <v>1700</v>
      </c>
      <c r="B145" s="362" t="s">
        <v>727</v>
      </c>
      <c r="C145" s="363" t="s">
        <v>725</v>
      </c>
      <c r="D145" s="532">
        <v>5</v>
      </c>
      <c r="E145" s="363"/>
      <c r="F145" s="365">
        <f t="shared" si="6"/>
        <v>0</v>
      </c>
    </row>
    <row r="146" spans="1:6">
      <c r="A146" s="278" t="s">
        <v>1701</v>
      </c>
      <c r="B146" s="366" t="s">
        <v>728</v>
      </c>
      <c r="C146" s="367" t="s">
        <v>725</v>
      </c>
      <c r="D146" s="532">
        <v>5</v>
      </c>
      <c r="E146" s="363"/>
      <c r="F146" s="365">
        <f t="shared" si="6"/>
        <v>0</v>
      </c>
    </row>
    <row r="147" spans="1:6">
      <c r="A147" s="278" t="s">
        <v>1702</v>
      </c>
      <c r="B147" s="366" t="s">
        <v>729</v>
      </c>
      <c r="C147" s="367" t="s">
        <v>34</v>
      </c>
      <c r="D147" s="532" t="s">
        <v>34</v>
      </c>
      <c r="E147" s="363"/>
      <c r="F147" s="365"/>
    </row>
    <row r="148" spans="1:6">
      <c r="A148" s="278" t="s">
        <v>1703</v>
      </c>
      <c r="B148" s="366" t="s">
        <v>730</v>
      </c>
      <c r="C148" s="367" t="s">
        <v>387</v>
      </c>
      <c r="D148" s="532">
        <v>3</v>
      </c>
      <c r="E148" s="363"/>
      <c r="F148" s="365">
        <f t="shared" ref="F148:F165" si="7">E148*D148</f>
        <v>0</v>
      </c>
    </row>
    <row r="149" spans="1:6">
      <c r="A149" s="278" t="s">
        <v>1704</v>
      </c>
      <c r="B149" s="366" t="s">
        <v>731</v>
      </c>
      <c r="C149" s="367" t="s">
        <v>387</v>
      </c>
      <c r="D149" s="532">
        <v>5</v>
      </c>
      <c r="E149" s="363"/>
      <c r="F149" s="365">
        <f t="shared" si="7"/>
        <v>0</v>
      </c>
    </row>
    <row r="150" spans="1:6">
      <c r="A150" s="278" t="s">
        <v>1705</v>
      </c>
      <c r="B150" s="369" t="s">
        <v>732</v>
      </c>
      <c r="C150" s="370" t="s">
        <v>387</v>
      </c>
      <c r="D150" s="371">
        <v>6</v>
      </c>
      <c r="E150" s="372"/>
      <c r="F150" s="365">
        <f t="shared" si="7"/>
        <v>0</v>
      </c>
    </row>
    <row r="151" spans="1:6">
      <c r="A151" s="278" t="s">
        <v>1706</v>
      </c>
      <c r="B151" s="373" t="s">
        <v>733</v>
      </c>
      <c r="C151" s="374" t="s">
        <v>387</v>
      </c>
      <c r="D151" s="374">
        <v>5</v>
      </c>
      <c r="E151" s="374"/>
      <c r="F151" s="365">
        <f t="shared" si="7"/>
        <v>0</v>
      </c>
    </row>
    <row r="152" spans="1:6">
      <c r="A152" s="278" t="s">
        <v>1707</v>
      </c>
      <c r="B152" s="373" t="s">
        <v>734</v>
      </c>
      <c r="C152" s="374" t="s">
        <v>387</v>
      </c>
      <c r="D152" s="374">
        <v>5</v>
      </c>
      <c r="E152" s="374"/>
      <c r="F152" s="365">
        <f t="shared" si="7"/>
        <v>0</v>
      </c>
    </row>
    <row r="153" spans="1:6">
      <c r="A153" s="278" t="s">
        <v>1708</v>
      </c>
      <c r="B153" s="373" t="s">
        <v>735</v>
      </c>
      <c r="C153" s="374" t="s">
        <v>387</v>
      </c>
      <c r="D153" s="374">
        <v>5</v>
      </c>
      <c r="E153" s="374"/>
      <c r="F153" s="365">
        <f t="shared" si="7"/>
        <v>0</v>
      </c>
    </row>
    <row r="154" spans="1:6">
      <c r="A154" s="202" t="s">
        <v>0</v>
      </c>
      <c r="B154" s="203" t="s">
        <v>1</v>
      </c>
      <c r="C154" s="204" t="s">
        <v>2</v>
      </c>
      <c r="D154" s="305" t="s">
        <v>426</v>
      </c>
      <c r="E154" s="307"/>
      <c r="F154" s="313" t="s">
        <v>472</v>
      </c>
    </row>
    <row r="155" spans="1:6">
      <c r="A155" s="278" t="s">
        <v>1709</v>
      </c>
      <c r="B155" s="373" t="s">
        <v>736</v>
      </c>
      <c r="C155" s="374" t="s">
        <v>387</v>
      </c>
      <c r="D155" s="374">
        <v>2</v>
      </c>
      <c r="E155" s="374"/>
      <c r="F155" s="365">
        <f t="shared" si="7"/>
        <v>0</v>
      </c>
    </row>
    <row r="156" spans="1:6">
      <c r="A156" s="278" t="s">
        <v>1710</v>
      </c>
      <c r="B156" s="373" t="s">
        <v>737</v>
      </c>
      <c r="C156" s="374" t="s">
        <v>387</v>
      </c>
      <c r="D156" s="374">
        <v>2</v>
      </c>
      <c r="E156" s="374"/>
      <c r="F156" s="365">
        <f t="shared" si="7"/>
        <v>0</v>
      </c>
    </row>
    <row r="157" spans="1:6">
      <c r="A157" s="278" t="s">
        <v>1711</v>
      </c>
      <c r="B157" s="373" t="s">
        <v>738</v>
      </c>
      <c r="C157" s="374" t="s">
        <v>387</v>
      </c>
      <c r="D157" s="374">
        <v>2</v>
      </c>
      <c r="E157" s="374"/>
      <c r="F157" s="365">
        <f t="shared" si="7"/>
        <v>0</v>
      </c>
    </row>
    <row r="158" spans="1:6">
      <c r="A158" s="278" t="s">
        <v>1712</v>
      </c>
      <c r="B158" s="373" t="s">
        <v>739</v>
      </c>
      <c r="C158" s="374" t="s">
        <v>387</v>
      </c>
      <c r="D158" s="374">
        <v>2</v>
      </c>
      <c r="E158" s="374"/>
      <c r="F158" s="365">
        <f t="shared" si="7"/>
        <v>0</v>
      </c>
    </row>
    <row r="159" spans="1:6">
      <c r="A159" s="278" t="s">
        <v>1713</v>
      </c>
      <c r="B159" s="375" t="s">
        <v>740</v>
      </c>
      <c r="C159" s="374" t="s">
        <v>387</v>
      </c>
      <c r="D159" s="374">
        <v>8</v>
      </c>
      <c r="E159" s="374"/>
      <c r="F159" s="365">
        <f t="shared" si="7"/>
        <v>0</v>
      </c>
    </row>
    <row r="160" spans="1:6">
      <c r="A160" s="278" t="s">
        <v>1714</v>
      </c>
      <c r="B160" s="373" t="s">
        <v>741</v>
      </c>
      <c r="C160" s="374" t="s">
        <v>387</v>
      </c>
      <c r="D160" s="374">
        <v>8</v>
      </c>
      <c r="E160" s="374"/>
      <c r="F160" s="365">
        <f t="shared" si="7"/>
        <v>0</v>
      </c>
    </row>
    <row r="161" spans="1:6">
      <c r="A161" s="278" t="s">
        <v>1715</v>
      </c>
      <c r="B161" s="373" t="s">
        <v>742</v>
      </c>
      <c r="C161" s="374" t="s">
        <v>387</v>
      </c>
      <c r="D161" s="374">
        <v>1</v>
      </c>
      <c r="E161" s="374"/>
      <c r="F161" s="365">
        <f t="shared" si="7"/>
        <v>0</v>
      </c>
    </row>
    <row r="162" spans="1:6">
      <c r="A162" s="278" t="s">
        <v>1716</v>
      </c>
      <c r="B162" s="373" t="s">
        <v>743</v>
      </c>
      <c r="C162" s="374" t="s">
        <v>387</v>
      </c>
      <c r="D162" s="374">
        <v>1</v>
      </c>
      <c r="E162" s="374"/>
      <c r="F162" s="365">
        <f t="shared" si="7"/>
        <v>0</v>
      </c>
    </row>
    <row r="163" spans="1:6" ht="29">
      <c r="A163" s="368" t="s">
        <v>1717</v>
      </c>
      <c r="B163" s="373" t="s">
        <v>744</v>
      </c>
      <c r="C163" s="374" t="s">
        <v>387</v>
      </c>
      <c r="D163" s="374">
        <v>4</v>
      </c>
      <c r="E163" s="374"/>
      <c r="F163" s="365">
        <f t="shared" si="7"/>
        <v>0</v>
      </c>
    </row>
    <row r="164" spans="1:6">
      <c r="A164" s="368" t="s">
        <v>1718</v>
      </c>
      <c r="B164" s="373" t="s">
        <v>745</v>
      </c>
      <c r="C164" s="374" t="s">
        <v>387</v>
      </c>
      <c r="D164" s="374">
        <v>5</v>
      </c>
      <c r="E164" s="374"/>
      <c r="F164" s="365">
        <f t="shared" si="7"/>
        <v>0</v>
      </c>
    </row>
    <row r="165" spans="1:6" ht="43.5">
      <c r="A165" s="368" t="s">
        <v>1719</v>
      </c>
      <c r="B165" s="373" t="s">
        <v>746</v>
      </c>
      <c r="C165" s="374" t="s">
        <v>439</v>
      </c>
      <c r="D165" s="374">
        <v>1</v>
      </c>
      <c r="E165" s="374"/>
      <c r="F165" s="365">
        <f t="shared" si="7"/>
        <v>0</v>
      </c>
    </row>
    <row r="166" spans="1:6" s="1010" customFormat="1">
      <c r="A166" s="1007"/>
      <c r="B166" s="770" t="s">
        <v>1721</v>
      </c>
      <c r="C166" s="1008"/>
      <c r="D166" s="1008"/>
      <c r="E166" s="1008"/>
      <c r="F166" s="1009">
        <f>SUM(F128:F165)</f>
        <v>0</v>
      </c>
    </row>
    <row r="167" spans="1:6" s="1010" customFormat="1">
      <c r="A167" s="1007"/>
      <c r="B167" s="770"/>
      <c r="C167" s="1008"/>
      <c r="D167" s="1008"/>
      <c r="E167" s="1008"/>
      <c r="F167" s="1009"/>
    </row>
    <row r="168" spans="1:6" s="1010" customFormat="1">
      <c r="A168" s="1252"/>
      <c r="B168" s="1253"/>
      <c r="C168" s="1254"/>
      <c r="D168" s="1254"/>
      <c r="E168" s="1254"/>
      <c r="F168" s="1255"/>
    </row>
    <row r="169" spans="1:6" s="1010" customFormat="1">
      <c r="A169" s="1252"/>
      <c r="B169" s="1253"/>
      <c r="C169" s="1254"/>
      <c r="D169" s="1254"/>
      <c r="E169" s="1254"/>
      <c r="F169" s="1255"/>
    </row>
    <row r="170" spans="1:6" s="1010" customFormat="1">
      <c r="A170" s="1252"/>
      <c r="B170" s="1253"/>
      <c r="C170" s="1254"/>
      <c r="D170" s="1254"/>
      <c r="E170" s="1254"/>
      <c r="F170" s="1255"/>
    </row>
    <row r="171" spans="1:6" s="1010" customFormat="1">
      <c r="A171" s="1252"/>
      <c r="B171" s="1253"/>
      <c r="C171" s="1254"/>
      <c r="D171" s="1254"/>
      <c r="E171" s="1254"/>
      <c r="F171" s="1255"/>
    </row>
    <row r="172" spans="1:6" s="1010" customFormat="1">
      <c r="A172" s="1252"/>
      <c r="B172" s="1253"/>
      <c r="C172" s="1254"/>
      <c r="D172" s="1254"/>
      <c r="E172" s="1254"/>
      <c r="F172" s="1255"/>
    </row>
    <row r="173" spans="1:6" s="1010" customFormat="1">
      <c r="A173" s="1252"/>
      <c r="B173" s="1253"/>
      <c r="C173" s="1254"/>
      <c r="D173" s="1254"/>
      <c r="E173" s="1254"/>
      <c r="F173" s="1255"/>
    </row>
    <row r="174" spans="1:6" s="1010" customFormat="1">
      <c r="A174" s="1252"/>
      <c r="B174" s="1253"/>
      <c r="C174" s="1254"/>
      <c r="D174" s="1254"/>
      <c r="E174" s="1254"/>
      <c r="F174" s="1255"/>
    </row>
    <row r="175" spans="1:6">
      <c r="A175" s="1013">
        <v>11.9</v>
      </c>
      <c r="B175" s="387" t="s">
        <v>1722</v>
      </c>
      <c r="C175" s="380" t="s">
        <v>34</v>
      </c>
      <c r="D175" s="380" t="s">
        <v>34</v>
      </c>
      <c r="E175" s="380"/>
      <c r="F175" s="379" t="s">
        <v>722</v>
      </c>
    </row>
    <row r="176" spans="1:6" ht="29">
      <c r="A176" s="378" t="s">
        <v>34</v>
      </c>
      <c r="B176" s="379" t="s">
        <v>747</v>
      </c>
      <c r="C176" s="380" t="s">
        <v>34</v>
      </c>
      <c r="D176" s="380" t="s">
        <v>34</v>
      </c>
      <c r="E176" s="380"/>
      <c r="F176" s="379" t="s">
        <v>722</v>
      </c>
    </row>
    <row r="177" spans="1:6" ht="72.5">
      <c r="A177" s="368" t="s">
        <v>1723</v>
      </c>
      <c r="B177" s="379" t="s">
        <v>748</v>
      </c>
      <c r="C177" s="380" t="s">
        <v>12</v>
      </c>
      <c r="D177" s="380">
        <v>4</v>
      </c>
      <c r="E177" s="380"/>
      <c r="F177" s="365">
        <f t="shared" ref="F177:F187" si="8">E177*D177</f>
        <v>0</v>
      </c>
    </row>
    <row r="178" spans="1:6" ht="43.5">
      <c r="A178" s="368" t="s">
        <v>1724</v>
      </c>
      <c r="B178" s="379" t="s">
        <v>749</v>
      </c>
      <c r="C178" s="380" t="s">
        <v>387</v>
      </c>
      <c r="D178" s="380">
        <f>D177</f>
        <v>4</v>
      </c>
      <c r="E178" s="380"/>
      <c r="F178" s="365">
        <f t="shared" si="8"/>
        <v>0</v>
      </c>
    </row>
    <row r="179" spans="1:6">
      <c r="A179" s="368" t="s">
        <v>1725</v>
      </c>
      <c r="B179" s="379" t="s">
        <v>750</v>
      </c>
      <c r="C179" s="380" t="s">
        <v>387</v>
      </c>
      <c r="D179" s="380">
        <f>D177</f>
        <v>4</v>
      </c>
      <c r="E179" s="380"/>
      <c r="F179" s="365">
        <f t="shared" si="8"/>
        <v>0</v>
      </c>
    </row>
    <row r="180" spans="1:6">
      <c r="A180" s="368" t="s">
        <v>1726</v>
      </c>
      <c r="B180" s="379" t="s">
        <v>751</v>
      </c>
      <c r="C180" s="380" t="s">
        <v>387</v>
      </c>
      <c r="D180" s="380">
        <f>D177</f>
        <v>4</v>
      </c>
      <c r="E180" s="380"/>
      <c r="F180" s="365">
        <f t="shared" si="8"/>
        <v>0</v>
      </c>
    </row>
    <row r="181" spans="1:6" ht="29">
      <c r="A181" s="368" t="s">
        <v>1727</v>
      </c>
      <c r="B181" s="379" t="s">
        <v>752</v>
      </c>
      <c r="C181" s="380" t="s">
        <v>387</v>
      </c>
      <c r="D181" s="380">
        <f>D177</f>
        <v>4</v>
      </c>
      <c r="E181" s="380"/>
      <c r="F181" s="365">
        <f t="shared" si="8"/>
        <v>0</v>
      </c>
    </row>
    <row r="182" spans="1:6" ht="87">
      <c r="A182" s="368" t="s">
        <v>1728</v>
      </c>
      <c r="B182" s="379" t="s">
        <v>753</v>
      </c>
      <c r="C182" s="380" t="s">
        <v>387</v>
      </c>
      <c r="D182" s="380">
        <f>D177</f>
        <v>4</v>
      </c>
      <c r="E182" s="380"/>
      <c r="F182" s="365">
        <f t="shared" si="8"/>
        <v>0</v>
      </c>
    </row>
    <row r="183" spans="1:6">
      <c r="A183" s="368" t="s">
        <v>1729</v>
      </c>
      <c r="B183" s="379" t="s">
        <v>754</v>
      </c>
      <c r="C183" s="380" t="s">
        <v>387</v>
      </c>
      <c r="D183" s="380">
        <f>D177</f>
        <v>4</v>
      </c>
      <c r="E183" s="380"/>
      <c r="F183" s="365">
        <f t="shared" si="8"/>
        <v>0</v>
      </c>
    </row>
    <row r="184" spans="1:6" ht="87">
      <c r="A184" s="368" t="s">
        <v>1730</v>
      </c>
      <c r="B184" s="379" t="s">
        <v>755</v>
      </c>
      <c r="C184" s="380" t="s">
        <v>387</v>
      </c>
      <c r="D184" s="380">
        <v>2</v>
      </c>
      <c r="E184" s="380"/>
      <c r="F184" s="365">
        <f t="shared" si="8"/>
        <v>0</v>
      </c>
    </row>
    <row r="185" spans="1:6" ht="58">
      <c r="A185" s="368" t="s">
        <v>1731</v>
      </c>
      <c r="B185" s="379" t="s">
        <v>756</v>
      </c>
      <c r="C185" s="380" t="s">
        <v>12</v>
      </c>
      <c r="D185" s="380">
        <v>2</v>
      </c>
      <c r="E185" s="380"/>
      <c r="F185" s="365">
        <f t="shared" si="8"/>
        <v>0</v>
      </c>
    </row>
    <row r="186" spans="1:6">
      <c r="A186" s="368" t="s">
        <v>1736</v>
      </c>
      <c r="B186" s="824" t="s">
        <v>1739</v>
      </c>
      <c r="C186" s="1020" t="s">
        <v>12</v>
      </c>
      <c r="D186" s="1020">
        <v>4</v>
      </c>
      <c r="E186" s="1020"/>
      <c r="F186" s="1012">
        <f t="shared" si="8"/>
        <v>0</v>
      </c>
    </row>
    <row r="187" spans="1:6">
      <c r="A187" s="368" t="s">
        <v>1737</v>
      </c>
      <c r="B187" s="824" t="s">
        <v>1740</v>
      </c>
      <c r="C187" s="1020" t="s">
        <v>12</v>
      </c>
      <c r="D187" s="1020">
        <v>4</v>
      </c>
      <c r="E187" s="1020"/>
      <c r="F187" s="1012">
        <f t="shared" si="8"/>
        <v>0</v>
      </c>
    </row>
    <row r="188" spans="1:6">
      <c r="A188" s="368" t="s">
        <v>1738</v>
      </c>
      <c r="B188" s="824"/>
      <c r="C188" s="1020"/>
      <c r="D188" s="1020"/>
      <c r="E188" s="1020"/>
      <c r="F188" s="1012"/>
    </row>
    <row r="189" spans="1:6">
      <c r="A189" s="1006"/>
      <c r="B189" s="824"/>
      <c r="C189" s="1020"/>
      <c r="D189" s="1020"/>
      <c r="E189" s="1020"/>
      <c r="F189" s="1012"/>
    </row>
    <row r="190" spans="1:6">
      <c r="A190" s="1006"/>
      <c r="B190" s="824"/>
      <c r="C190" s="1020"/>
      <c r="D190" s="1020"/>
      <c r="E190" s="1020"/>
      <c r="F190" s="1012"/>
    </row>
    <row r="191" spans="1:6">
      <c r="A191" s="378"/>
      <c r="B191" s="376" t="s">
        <v>1732</v>
      </c>
      <c r="C191" s="380"/>
      <c r="D191" s="380"/>
      <c r="E191" s="380"/>
      <c r="F191" s="377">
        <f>SUM(F176:F187)</f>
        <v>0</v>
      </c>
    </row>
    <row r="192" spans="1:6">
      <c r="A192" s="381"/>
      <c r="B192" s="373"/>
      <c r="C192" s="382"/>
      <c r="D192" s="382"/>
      <c r="E192" s="382"/>
      <c r="F192" s="383"/>
    </row>
    <row r="193" spans="1:6">
      <c r="A193" s="990"/>
      <c r="B193" s="769"/>
      <c r="C193" s="758"/>
      <c r="D193" s="758"/>
      <c r="E193" s="758"/>
      <c r="F193" s="991"/>
    </row>
    <row r="194" spans="1:6">
      <c r="A194" s="990"/>
      <c r="B194" s="769"/>
      <c r="C194" s="758"/>
      <c r="D194" s="758"/>
      <c r="E194" s="758"/>
      <c r="F194" s="991"/>
    </row>
    <row r="195" spans="1:6">
      <c r="A195" s="990"/>
      <c r="B195" s="769"/>
      <c r="C195" s="758"/>
      <c r="D195" s="758"/>
      <c r="E195" s="758"/>
      <c r="F195" s="991"/>
    </row>
    <row r="196" spans="1:6">
      <c r="A196" s="990"/>
      <c r="B196" s="769"/>
      <c r="C196" s="758"/>
      <c r="D196" s="758"/>
      <c r="E196" s="758"/>
      <c r="F196" s="991"/>
    </row>
    <row r="197" spans="1:6">
      <c r="A197" s="990"/>
      <c r="B197" s="769"/>
      <c r="C197" s="758"/>
      <c r="D197" s="758"/>
      <c r="E197" s="758"/>
      <c r="F197" s="991"/>
    </row>
    <row r="198" spans="1:6">
      <c r="A198" s="990"/>
      <c r="B198" s="769"/>
      <c r="C198" s="758"/>
      <c r="D198" s="758"/>
      <c r="E198" s="758"/>
      <c r="F198" s="991"/>
    </row>
    <row r="199" spans="1:6">
      <c r="A199" s="990"/>
      <c r="B199" s="769"/>
      <c r="C199" s="758"/>
      <c r="D199" s="758"/>
      <c r="E199" s="758"/>
      <c r="F199" s="991"/>
    </row>
    <row r="200" spans="1:6">
      <c r="A200" s="990"/>
      <c r="B200" s="769"/>
      <c r="C200" s="758"/>
      <c r="D200" s="758"/>
      <c r="E200" s="758"/>
      <c r="F200" s="991"/>
    </row>
    <row r="201" spans="1:6">
      <c r="A201" s="990"/>
      <c r="B201" s="769"/>
      <c r="C201" s="758"/>
      <c r="D201" s="758"/>
      <c r="E201" s="758"/>
      <c r="F201" s="991"/>
    </row>
    <row r="202" spans="1:6">
      <c r="A202" s="381"/>
      <c r="B202" s="197" t="s">
        <v>638</v>
      </c>
      <c r="C202" s="382"/>
      <c r="D202" s="382"/>
      <c r="E202" s="382"/>
      <c r="F202" s="383"/>
    </row>
    <row r="203" spans="1:6">
      <c r="A203" s="381"/>
      <c r="B203" s="373"/>
      <c r="C203" s="382"/>
      <c r="D203" s="382"/>
      <c r="E203" s="382"/>
      <c r="F203" s="383"/>
    </row>
    <row r="204" spans="1:6">
      <c r="A204" s="381">
        <v>1</v>
      </c>
      <c r="B204" s="373" t="str">
        <f>B4</f>
        <v>BILL NO. 1 : SUB-STRUCTURES (all provisional)</v>
      </c>
      <c r="C204" s="382"/>
      <c r="D204" s="382"/>
      <c r="E204" s="382"/>
      <c r="F204" s="383">
        <f>F30</f>
        <v>0</v>
      </c>
    </row>
    <row r="205" spans="1:6">
      <c r="A205" s="381"/>
      <c r="B205" s="373"/>
      <c r="C205" s="382"/>
      <c r="D205" s="382"/>
      <c r="E205" s="382"/>
      <c r="F205" s="383"/>
    </row>
    <row r="206" spans="1:6">
      <c r="A206" s="381">
        <v>2</v>
      </c>
      <c r="B206" s="373" t="str">
        <f>B33</f>
        <v>ELEMENT NO. 2: SUPER STRUCTURE CONCRETE</v>
      </c>
      <c r="C206" s="382"/>
      <c r="D206" s="382"/>
      <c r="E206" s="382"/>
      <c r="F206" s="383">
        <f>F44</f>
        <v>0</v>
      </c>
    </row>
    <row r="207" spans="1:6">
      <c r="A207" s="381"/>
      <c r="B207" s="373"/>
      <c r="C207" s="382"/>
      <c r="D207" s="382"/>
      <c r="E207" s="382"/>
      <c r="F207" s="383"/>
    </row>
    <row r="208" spans="1:6">
      <c r="A208" s="381">
        <v>3</v>
      </c>
      <c r="B208" s="375" t="str">
        <f>B46</f>
        <v>ELEMENT NO. 3 SUPERSTRUCTURE WALLING</v>
      </c>
      <c r="C208" s="382"/>
      <c r="D208" s="382"/>
      <c r="E208" s="382"/>
      <c r="F208" s="383">
        <f>F57</f>
        <v>0</v>
      </c>
    </row>
    <row r="209" spans="1:6">
      <c r="A209" s="381"/>
      <c r="B209" s="373"/>
      <c r="C209" s="382"/>
      <c r="D209" s="382"/>
      <c r="E209" s="382"/>
      <c r="F209" s="383"/>
    </row>
    <row r="210" spans="1:6">
      <c r="A210" s="381">
        <v>4</v>
      </c>
      <c r="B210" s="375" t="str">
        <f>B59</f>
        <v>ELEMENT NO. 4:  ROOF</v>
      </c>
      <c r="C210" s="382"/>
      <c r="D210" s="382"/>
      <c r="E210" s="382"/>
      <c r="F210" s="383">
        <f>F77</f>
        <v>0</v>
      </c>
    </row>
    <row r="211" spans="1:6">
      <c r="A211" s="990"/>
      <c r="B211" s="992"/>
      <c r="C211" s="758"/>
      <c r="D211" s="758"/>
      <c r="E211" s="758"/>
      <c r="F211" s="991"/>
    </row>
    <row r="212" spans="1:6">
      <c r="A212" s="990">
        <v>5</v>
      </c>
      <c r="B212" s="992" t="str">
        <f>B79</f>
        <v>ELEMENT NO. 5: DOORS AND WINDOWS</v>
      </c>
      <c r="C212" s="758"/>
      <c r="D212" s="758"/>
      <c r="E212" s="758"/>
      <c r="F212" s="991">
        <f>F85</f>
        <v>0</v>
      </c>
    </row>
    <row r="213" spans="1:6">
      <c r="A213" s="990"/>
      <c r="B213" s="992"/>
      <c r="C213" s="758"/>
      <c r="D213" s="758"/>
      <c r="E213" s="758"/>
      <c r="F213" s="991"/>
    </row>
    <row r="214" spans="1:6">
      <c r="A214" s="990">
        <v>6</v>
      </c>
      <c r="B214" s="992" t="str">
        <f>B87</f>
        <v>ELEMENT NO. 6: FINISHES</v>
      </c>
      <c r="C214" s="758"/>
      <c r="D214" s="758"/>
      <c r="E214" s="758"/>
      <c r="F214" s="991">
        <f>F109</f>
        <v>0</v>
      </c>
    </row>
    <row r="215" spans="1:6">
      <c r="A215" s="990"/>
      <c r="B215" s="992"/>
      <c r="C215" s="758"/>
      <c r="D215" s="758"/>
      <c r="E215" s="758"/>
      <c r="F215" s="991"/>
    </row>
    <row r="216" spans="1:6">
      <c r="A216" s="990">
        <v>7</v>
      </c>
      <c r="B216" s="992" t="str">
        <f>B111</f>
        <v>BILL NO. 7: ELECTRICAL INSTALLATIONS AND SERVICES</v>
      </c>
      <c r="C216" s="758"/>
      <c r="D216" s="758"/>
      <c r="E216" s="758"/>
      <c r="F216" s="991">
        <f>F123</f>
        <v>0</v>
      </c>
    </row>
    <row r="217" spans="1:6">
      <c r="A217" s="990"/>
      <c r="B217" s="992"/>
      <c r="C217" s="758"/>
      <c r="D217" s="758"/>
      <c r="E217" s="758"/>
      <c r="F217" s="991"/>
    </row>
    <row r="218" spans="1:6">
      <c r="A218" s="990">
        <v>8</v>
      </c>
      <c r="B218" s="992" t="str">
        <f>B125</f>
        <v>BILL NO. 8: MECHANICAL INSTALLATIONS AND SERVICES</v>
      </c>
      <c r="C218" s="758"/>
      <c r="D218" s="758"/>
      <c r="E218" s="758"/>
      <c r="F218" s="991">
        <f>F166</f>
        <v>0</v>
      </c>
    </row>
    <row r="219" spans="1:6">
      <c r="A219" s="381"/>
      <c r="B219" s="373"/>
      <c r="C219" s="382"/>
      <c r="D219" s="382"/>
      <c r="E219" s="382"/>
      <c r="F219" s="383"/>
    </row>
    <row r="220" spans="1:6">
      <c r="A220" s="381">
        <v>9</v>
      </c>
      <c r="B220" s="373" t="str">
        <f>B175</f>
        <v>BILL NO. 9: SANITARY FITTINGS</v>
      </c>
      <c r="C220" s="382"/>
      <c r="D220" s="382"/>
      <c r="E220" s="382"/>
      <c r="F220" s="383">
        <f>F191</f>
        <v>0</v>
      </c>
    </row>
    <row r="221" spans="1:6">
      <c r="A221" s="990"/>
      <c r="B221" s="769"/>
      <c r="C221" s="758"/>
      <c r="D221" s="758"/>
      <c r="E221" s="758"/>
      <c r="F221" s="991"/>
    </row>
    <row r="222" spans="1:6">
      <c r="A222" s="276"/>
      <c r="B222" s="197" t="s">
        <v>757</v>
      </c>
      <c r="C222" s="200"/>
      <c r="D222" s="200"/>
      <c r="E222" s="200"/>
      <c r="F222" s="199">
        <f>SUM(F204:F220)</f>
        <v>0</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abSelected="1" view="pageBreakPreview" zoomScale="115" zoomScaleNormal="100" zoomScaleSheetLayoutView="115" workbookViewId="0">
      <selection activeCell="A3" sqref="A3"/>
    </sheetView>
  </sheetViews>
  <sheetFormatPr defaultColWidth="9.08984375" defaultRowHeight="14.5"/>
  <cols>
    <col min="1" max="1" width="19" style="128" bestFit="1" customWidth="1"/>
    <col min="2" max="2" width="46.453125" style="124" customWidth="1"/>
    <col min="3" max="3" width="17.36328125" style="632" customWidth="1"/>
    <col min="4" max="241" width="9.08984375" style="101"/>
    <col min="242" max="242" width="9.54296875" style="101" customWidth="1"/>
    <col min="243" max="243" width="71.08984375" style="101" customWidth="1"/>
    <col min="244" max="244" width="16.36328125" style="101" customWidth="1"/>
    <col min="245" max="245" width="21.90625" style="101" customWidth="1"/>
    <col min="246" max="246" width="4.08984375" style="101" customWidth="1"/>
    <col min="247" max="497" width="9.08984375" style="101"/>
    <col min="498" max="498" width="9.54296875" style="101" customWidth="1"/>
    <col min="499" max="499" width="71.08984375" style="101" customWidth="1"/>
    <col min="500" max="500" width="16.36328125" style="101" customWidth="1"/>
    <col min="501" max="501" width="21.90625" style="101" customWidth="1"/>
    <col min="502" max="502" width="4.08984375" style="101" customWidth="1"/>
    <col min="503" max="753" width="9.08984375" style="101"/>
    <col min="754" max="754" width="9.54296875" style="101" customWidth="1"/>
    <col min="755" max="755" width="71.08984375" style="101" customWidth="1"/>
    <col min="756" max="756" width="16.36328125" style="101" customWidth="1"/>
    <col min="757" max="757" width="21.90625" style="101" customWidth="1"/>
    <col min="758" max="758" width="4.08984375" style="101" customWidth="1"/>
    <col min="759" max="1009" width="9.08984375" style="101"/>
    <col min="1010" max="1010" width="9.54296875" style="101" customWidth="1"/>
    <col min="1011" max="1011" width="71.08984375" style="101" customWidth="1"/>
    <col min="1012" max="1012" width="16.36328125" style="101" customWidth="1"/>
    <col min="1013" max="1013" width="21.90625" style="101" customWidth="1"/>
    <col min="1014" max="1014" width="4.08984375" style="101" customWidth="1"/>
    <col min="1015" max="1265" width="9.08984375" style="101"/>
    <col min="1266" max="1266" width="9.54296875" style="101" customWidth="1"/>
    <col min="1267" max="1267" width="71.08984375" style="101" customWidth="1"/>
    <col min="1268" max="1268" width="16.36328125" style="101" customWidth="1"/>
    <col min="1269" max="1269" width="21.90625" style="101" customWidth="1"/>
    <col min="1270" max="1270" width="4.08984375" style="101" customWidth="1"/>
    <col min="1271" max="1521" width="9.08984375" style="101"/>
    <col min="1522" max="1522" width="9.54296875" style="101" customWidth="1"/>
    <col min="1523" max="1523" width="71.08984375" style="101" customWidth="1"/>
    <col min="1524" max="1524" width="16.36328125" style="101" customWidth="1"/>
    <col min="1525" max="1525" width="21.90625" style="101" customWidth="1"/>
    <col min="1526" max="1526" width="4.08984375" style="101" customWidth="1"/>
    <col min="1527" max="1777" width="9.08984375" style="101"/>
    <col min="1778" max="1778" width="9.54296875" style="101" customWidth="1"/>
    <col min="1779" max="1779" width="71.08984375" style="101" customWidth="1"/>
    <col min="1780" max="1780" width="16.36328125" style="101" customWidth="1"/>
    <col min="1781" max="1781" width="21.90625" style="101" customWidth="1"/>
    <col min="1782" max="1782" width="4.08984375" style="101" customWidth="1"/>
    <col min="1783" max="2033" width="9.08984375" style="101"/>
    <col min="2034" max="2034" width="9.54296875" style="101" customWidth="1"/>
    <col min="2035" max="2035" width="71.08984375" style="101" customWidth="1"/>
    <col min="2036" max="2036" width="16.36328125" style="101" customWidth="1"/>
    <col min="2037" max="2037" width="21.90625" style="101" customWidth="1"/>
    <col min="2038" max="2038" width="4.08984375" style="101" customWidth="1"/>
    <col min="2039" max="2289" width="9.08984375" style="101"/>
    <col min="2290" max="2290" width="9.54296875" style="101" customWidth="1"/>
    <col min="2291" max="2291" width="71.08984375" style="101" customWidth="1"/>
    <col min="2292" max="2292" width="16.36328125" style="101" customWidth="1"/>
    <col min="2293" max="2293" width="21.90625" style="101" customWidth="1"/>
    <col min="2294" max="2294" width="4.08984375" style="101" customWidth="1"/>
    <col min="2295" max="2545" width="9.08984375" style="101"/>
    <col min="2546" max="2546" width="9.54296875" style="101" customWidth="1"/>
    <col min="2547" max="2547" width="71.08984375" style="101" customWidth="1"/>
    <col min="2548" max="2548" width="16.36328125" style="101" customWidth="1"/>
    <col min="2549" max="2549" width="21.90625" style="101" customWidth="1"/>
    <col min="2550" max="2550" width="4.08984375" style="101" customWidth="1"/>
    <col min="2551" max="2801" width="9.08984375" style="101"/>
    <col min="2802" max="2802" width="9.54296875" style="101" customWidth="1"/>
    <col min="2803" max="2803" width="71.08984375" style="101" customWidth="1"/>
    <col min="2804" max="2804" width="16.36328125" style="101" customWidth="1"/>
    <col min="2805" max="2805" width="21.90625" style="101" customWidth="1"/>
    <col min="2806" max="2806" width="4.08984375" style="101" customWidth="1"/>
    <col min="2807" max="3057" width="9.08984375" style="101"/>
    <col min="3058" max="3058" width="9.54296875" style="101" customWidth="1"/>
    <col min="3059" max="3059" width="71.08984375" style="101" customWidth="1"/>
    <col min="3060" max="3060" width="16.36328125" style="101" customWidth="1"/>
    <col min="3061" max="3061" width="21.90625" style="101" customWidth="1"/>
    <col min="3062" max="3062" width="4.08984375" style="101" customWidth="1"/>
    <col min="3063" max="3313" width="9.08984375" style="101"/>
    <col min="3314" max="3314" width="9.54296875" style="101" customWidth="1"/>
    <col min="3315" max="3315" width="71.08984375" style="101" customWidth="1"/>
    <col min="3316" max="3316" width="16.36328125" style="101" customWidth="1"/>
    <col min="3317" max="3317" width="21.90625" style="101" customWidth="1"/>
    <col min="3318" max="3318" width="4.08984375" style="101" customWidth="1"/>
    <col min="3319" max="3569" width="9.08984375" style="101"/>
    <col min="3570" max="3570" width="9.54296875" style="101" customWidth="1"/>
    <col min="3571" max="3571" width="71.08984375" style="101" customWidth="1"/>
    <col min="3572" max="3572" width="16.36328125" style="101" customWidth="1"/>
    <col min="3573" max="3573" width="21.90625" style="101" customWidth="1"/>
    <col min="3574" max="3574" width="4.08984375" style="101" customWidth="1"/>
    <col min="3575" max="3825" width="9.08984375" style="101"/>
    <col min="3826" max="3826" width="9.54296875" style="101" customWidth="1"/>
    <col min="3827" max="3827" width="71.08984375" style="101" customWidth="1"/>
    <col min="3828" max="3828" width="16.36328125" style="101" customWidth="1"/>
    <col min="3829" max="3829" width="21.90625" style="101" customWidth="1"/>
    <col min="3830" max="3830" width="4.08984375" style="101" customWidth="1"/>
    <col min="3831" max="4081" width="9.08984375" style="101"/>
    <col min="4082" max="4082" width="9.54296875" style="101" customWidth="1"/>
    <col min="4083" max="4083" width="71.08984375" style="101" customWidth="1"/>
    <col min="4084" max="4084" width="16.36328125" style="101" customWidth="1"/>
    <col min="4085" max="4085" width="21.90625" style="101" customWidth="1"/>
    <col min="4086" max="4086" width="4.08984375" style="101" customWidth="1"/>
    <col min="4087" max="4337" width="9.08984375" style="101"/>
    <col min="4338" max="4338" width="9.54296875" style="101" customWidth="1"/>
    <col min="4339" max="4339" width="71.08984375" style="101" customWidth="1"/>
    <col min="4340" max="4340" width="16.36328125" style="101" customWidth="1"/>
    <col min="4341" max="4341" width="21.90625" style="101" customWidth="1"/>
    <col min="4342" max="4342" width="4.08984375" style="101" customWidth="1"/>
    <col min="4343" max="4593" width="9.08984375" style="101"/>
    <col min="4594" max="4594" width="9.54296875" style="101" customWidth="1"/>
    <col min="4595" max="4595" width="71.08984375" style="101" customWidth="1"/>
    <col min="4596" max="4596" width="16.36328125" style="101" customWidth="1"/>
    <col min="4597" max="4597" width="21.90625" style="101" customWidth="1"/>
    <col min="4598" max="4598" width="4.08984375" style="101" customWidth="1"/>
    <col min="4599" max="4849" width="9.08984375" style="101"/>
    <col min="4850" max="4850" width="9.54296875" style="101" customWidth="1"/>
    <col min="4851" max="4851" width="71.08984375" style="101" customWidth="1"/>
    <col min="4852" max="4852" width="16.36328125" style="101" customWidth="1"/>
    <col min="4853" max="4853" width="21.90625" style="101" customWidth="1"/>
    <col min="4854" max="4854" width="4.08984375" style="101" customWidth="1"/>
    <col min="4855" max="5105" width="9.08984375" style="101"/>
    <col min="5106" max="5106" width="9.54296875" style="101" customWidth="1"/>
    <col min="5107" max="5107" width="71.08984375" style="101" customWidth="1"/>
    <col min="5108" max="5108" width="16.36328125" style="101" customWidth="1"/>
    <col min="5109" max="5109" width="21.90625" style="101" customWidth="1"/>
    <col min="5110" max="5110" width="4.08984375" style="101" customWidth="1"/>
    <col min="5111" max="5361" width="9.08984375" style="101"/>
    <col min="5362" max="5362" width="9.54296875" style="101" customWidth="1"/>
    <col min="5363" max="5363" width="71.08984375" style="101" customWidth="1"/>
    <col min="5364" max="5364" width="16.36328125" style="101" customWidth="1"/>
    <col min="5365" max="5365" width="21.90625" style="101" customWidth="1"/>
    <col min="5366" max="5366" width="4.08984375" style="101" customWidth="1"/>
    <col min="5367" max="5617" width="9.08984375" style="101"/>
    <col min="5618" max="5618" width="9.54296875" style="101" customWidth="1"/>
    <col min="5619" max="5619" width="71.08984375" style="101" customWidth="1"/>
    <col min="5620" max="5620" width="16.36328125" style="101" customWidth="1"/>
    <col min="5621" max="5621" width="21.90625" style="101" customWidth="1"/>
    <col min="5622" max="5622" width="4.08984375" style="101" customWidth="1"/>
    <col min="5623" max="5873" width="9.08984375" style="101"/>
    <col min="5874" max="5874" width="9.54296875" style="101" customWidth="1"/>
    <col min="5875" max="5875" width="71.08984375" style="101" customWidth="1"/>
    <col min="5876" max="5876" width="16.36328125" style="101" customWidth="1"/>
    <col min="5877" max="5877" width="21.90625" style="101" customWidth="1"/>
    <col min="5878" max="5878" width="4.08984375" style="101" customWidth="1"/>
    <col min="5879" max="6129" width="9.08984375" style="101"/>
    <col min="6130" max="6130" width="9.54296875" style="101" customWidth="1"/>
    <col min="6131" max="6131" width="71.08984375" style="101" customWidth="1"/>
    <col min="6132" max="6132" width="16.36328125" style="101" customWidth="1"/>
    <col min="6133" max="6133" width="21.90625" style="101" customWidth="1"/>
    <col min="6134" max="6134" width="4.08984375" style="101" customWidth="1"/>
    <col min="6135" max="6385" width="9.08984375" style="101"/>
    <col min="6386" max="6386" width="9.54296875" style="101" customWidth="1"/>
    <col min="6387" max="6387" width="71.08984375" style="101" customWidth="1"/>
    <col min="6388" max="6388" width="16.36328125" style="101" customWidth="1"/>
    <col min="6389" max="6389" width="21.90625" style="101" customWidth="1"/>
    <col min="6390" max="6390" width="4.08984375" style="101" customWidth="1"/>
    <col min="6391" max="6641" width="9.08984375" style="101"/>
    <col min="6642" max="6642" width="9.54296875" style="101" customWidth="1"/>
    <col min="6643" max="6643" width="71.08984375" style="101" customWidth="1"/>
    <col min="6644" max="6644" width="16.36328125" style="101" customWidth="1"/>
    <col min="6645" max="6645" width="21.90625" style="101" customWidth="1"/>
    <col min="6646" max="6646" width="4.08984375" style="101" customWidth="1"/>
    <col min="6647" max="6897" width="9.08984375" style="101"/>
    <col min="6898" max="6898" width="9.54296875" style="101" customWidth="1"/>
    <col min="6899" max="6899" width="71.08984375" style="101" customWidth="1"/>
    <col min="6900" max="6900" width="16.36328125" style="101" customWidth="1"/>
    <col min="6901" max="6901" width="21.90625" style="101" customWidth="1"/>
    <col min="6902" max="6902" width="4.08984375" style="101" customWidth="1"/>
    <col min="6903" max="7153" width="9.08984375" style="101"/>
    <col min="7154" max="7154" width="9.54296875" style="101" customWidth="1"/>
    <col min="7155" max="7155" width="71.08984375" style="101" customWidth="1"/>
    <col min="7156" max="7156" width="16.36328125" style="101" customWidth="1"/>
    <col min="7157" max="7157" width="21.90625" style="101" customWidth="1"/>
    <col min="7158" max="7158" width="4.08984375" style="101" customWidth="1"/>
    <col min="7159" max="7409" width="9.08984375" style="101"/>
    <col min="7410" max="7410" width="9.54296875" style="101" customWidth="1"/>
    <col min="7411" max="7411" width="71.08984375" style="101" customWidth="1"/>
    <col min="7412" max="7412" width="16.36328125" style="101" customWidth="1"/>
    <col min="7413" max="7413" width="21.90625" style="101" customWidth="1"/>
    <col min="7414" max="7414" width="4.08984375" style="101" customWidth="1"/>
    <col min="7415" max="7665" width="9.08984375" style="101"/>
    <col min="7666" max="7666" width="9.54296875" style="101" customWidth="1"/>
    <col min="7667" max="7667" width="71.08984375" style="101" customWidth="1"/>
    <col min="7668" max="7668" width="16.36328125" style="101" customWidth="1"/>
    <col min="7669" max="7669" width="21.90625" style="101" customWidth="1"/>
    <col min="7670" max="7670" width="4.08984375" style="101" customWidth="1"/>
    <col min="7671" max="7921" width="9.08984375" style="101"/>
    <col min="7922" max="7922" width="9.54296875" style="101" customWidth="1"/>
    <col min="7923" max="7923" width="71.08984375" style="101" customWidth="1"/>
    <col min="7924" max="7924" width="16.36328125" style="101" customWidth="1"/>
    <col min="7925" max="7925" width="21.90625" style="101" customWidth="1"/>
    <col min="7926" max="7926" width="4.08984375" style="101" customWidth="1"/>
    <col min="7927" max="8177" width="9.08984375" style="101"/>
    <col min="8178" max="8178" width="9.54296875" style="101" customWidth="1"/>
    <col min="8179" max="8179" width="71.08984375" style="101" customWidth="1"/>
    <col min="8180" max="8180" width="16.36328125" style="101" customWidth="1"/>
    <col min="8181" max="8181" width="21.90625" style="101" customWidth="1"/>
    <col min="8182" max="8182" width="4.08984375" style="101" customWidth="1"/>
    <col min="8183" max="8433" width="9.08984375" style="101"/>
    <col min="8434" max="8434" width="9.54296875" style="101" customWidth="1"/>
    <col min="8435" max="8435" width="71.08984375" style="101" customWidth="1"/>
    <col min="8436" max="8436" width="16.36328125" style="101" customWidth="1"/>
    <col min="8437" max="8437" width="21.90625" style="101" customWidth="1"/>
    <col min="8438" max="8438" width="4.08984375" style="101" customWidth="1"/>
    <col min="8439" max="8689" width="9.08984375" style="101"/>
    <col min="8690" max="8690" width="9.54296875" style="101" customWidth="1"/>
    <col min="8691" max="8691" width="71.08984375" style="101" customWidth="1"/>
    <col min="8692" max="8692" width="16.36328125" style="101" customWidth="1"/>
    <col min="8693" max="8693" width="21.90625" style="101" customWidth="1"/>
    <col min="8694" max="8694" width="4.08984375" style="101" customWidth="1"/>
    <col min="8695" max="8945" width="9.08984375" style="101"/>
    <col min="8946" max="8946" width="9.54296875" style="101" customWidth="1"/>
    <col min="8947" max="8947" width="71.08984375" style="101" customWidth="1"/>
    <col min="8948" max="8948" width="16.36328125" style="101" customWidth="1"/>
    <col min="8949" max="8949" width="21.90625" style="101" customWidth="1"/>
    <col min="8950" max="8950" width="4.08984375" style="101" customWidth="1"/>
    <col min="8951" max="9201" width="9.08984375" style="101"/>
    <col min="9202" max="9202" width="9.54296875" style="101" customWidth="1"/>
    <col min="9203" max="9203" width="71.08984375" style="101" customWidth="1"/>
    <col min="9204" max="9204" width="16.36328125" style="101" customWidth="1"/>
    <col min="9205" max="9205" width="21.90625" style="101" customWidth="1"/>
    <col min="9206" max="9206" width="4.08984375" style="101" customWidth="1"/>
    <col min="9207" max="9457" width="9.08984375" style="101"/>
    <col min="9458" max="9458" width="9.54296875" style="101" customWidth="1"/>
    <col min="9459" max="9459" width="71.08984375" style="101" customWidth="1"/>
    <col min="9460" max="9460" width="16.36328125" style="101" customWidth="1"/>
    <col min="9461" max="9461" width="21.90625" style="101" customWidth="1"/>
    <col min="9462" max="9462" width="4.08984375" style="101" customWidth="1"/>
    <col min="9463" max="9713" width="9.08984375" style="101"/>
    <col min="9714" max="9714" width="9.54296875" style="101" customWidth="1"/>
    <col min="9715" max="9715" width="71.08984375" style="101" customWidth="1"/>
    <col min="9716" max="9716" width="16.36328125" style="101" customWidth="1"/>
    <col min="9717" max="9717" width="21.90625" style="101" customWidth="1"/>
    <col min="9718" max="9718" width="4.08984375" style="101" customWidth="1"/>
    <col min="9719" max="9969" width="9.08984375" style="101"/>
    <col min="9970" max="9970" width="9.54296875" style="101" customWidth="1"/>
    <col min="9971" max="9971" width="71.08984375" style="101" customWidth="1"/>
    <col min="9972" max="9972" width="16.36328125" style="101" customWidth="1"/>
    <col min="9973" max="9973" width="21.90625" style="101" customWidth="1"/>
    <col min="9974" max="9974" width="4.08984375" style="101" customWidth="1"/>
    <col min="9975" max="10225" width="9.08984375" style="101"/>
    <col min="10226" max="10226" width="9.54296875" style="101" customWidth="1"/>
    <col min="10227" max="10227" width="71.08984375" style="101" customWidth="1"/>
    <col min="10228" max="10228" width="16.36328125" style="101" customWidth="1"/>
    <col min="10229" max="10229" width="21.90625" style="101" customWidth="1"/>
    <col min="10230" max="10230" width="4.08984375" style="101" customWidth="1"/>
    <col min="10231" max="10481" width="9.08984375" style="101"/>
    <col min="10482" max="10482" width="9.54296875" style="101" customWidth="1"/>
    <col min="10483" max="10483" width="71.08984375" style="101" customWidth="1"/>
    <col min="10484" max="10484" width="16.36328125" style="101" customWidth="1"/>
    <col min="10485" max="10485" width="21.90625" style="101" customWidth="1"/>
    <col min="10486" max="10486" width="4.08984375" style="101" customWidth="1"/>
    <col min="10487" max="10737" width="9.08984375" style="101"/>
    <col min="10738" max="10738" width="9.54296875" style="101" customWidth="1"/>
    <col min="10739" max="10739" width="71.08984375" style="101" customWidth="1"/>
    <col min="10740" max="10740" width="16.36328125" style="101" customWidth="1"/>
    <col min="10741" max="10741" width="21.90625" style="101" customWidth="1"/>
    <col min="10742" max="10742" width="4.08984375" style="101" customWidth="1"/>
    <col min="10743" max="10993" width="9.08984375" style="101"/>
    <col min="10994" max="10994" width="9.54296875" style="101" customWidth="1"/>
    <col min="10995" max="10995" width="71.08984375" style="101" customWidth="1"/>
    <col min="10996" max="10996" width="16.36328125" style="101" customWidth="1"/>
    <col min="10997" max="10997" width="21.90625" style="101" customWidth="1"/>
    <col min="10998" max="10998" width="4.08984375" style="101" customWidth="1"/>
    <col min="10999" max="11249" width="9.08984375" style="101"/>
    <col min="11250" max="11250" width="9.54296875" style="101" customWidth="1"/>
    <col min="11251" max="11251" width="71.08984375" style="101" customWidth="1"/>
    <col min="11252" max="11252" width="16.36328125" style="101" customWidth="1"/>
    <col min="11253" max="11253" width="21.90625" style="101" customWidth="1"/>
    <col min="11254" max="11254" width="4.08984375" style="101" customWidth="1"/>
    <col min="11255" max="11505" width="9.08984375" style="101"/>
    <col min="11506" max="11506" width="9.54296875" style="101" customWidth="1"/>
    <col min="11507" max="11507" width="71.08984375" style="101" customWidth="1"/>
    <col min="11508" max="11508" width="16.36328125" style="101" customWidth="1"/>
    <col min="11509" max="11509" width="21.90625" style="101" customWidth="1"/>
    <col min="11510" max="11510" width="4.08984375" style="101" customWidth="1"/>
    <col min="11511" max="11761" width="9.08984375" style="101"/>
    <col min="11762" max="11762" width="9.54296875" style="101" customWidth="1"/>
    <col min="11763" max="11763" width="71.08984375" style="101" customWidth="1"/>
    <col min="11764" max="11764" width="16.36328125" style="101" customWidth="1"/>
    <col min="11765" max="11765" width="21.90625" style="101" customWidth="1"/>
    <col min="11766" max="11766" width="4.08984375" style="101" customWidth="1"/>
    <col min="11767" max="12017" width="9.08984375" style="101"/>
    <col min="12018" max="12018" width="9.54296875" style="101" customWidth="1"/>
    <col min="12019" max="12019" width="71.08984375" style="101" customWidth="1"/>
    <col min="12020" max="12020" width="16.36328125" style="101" customWidth="1"/>
    <col min="12021" max="12021" width="21.90625" style="101" customWidth="1"/>
    <col min="12022" max="12022" width="4.08984375" style="101" customWidth="1"/>
    <col min="12023" max="12273" width="9.08984375" style="101"/>
    <col min="12274" max="12274" width="9.54296875" style="101" customWidth="1"/>
    <col min="12275" max="12275" width="71.08984375" style="101" customWidth="1"/>
    <col min="12276" max="12276" width="16.36328125" style="101" customWidth="1"/>
    <col min="12277" max="12277" width="21.90625" style="101" customWidth="1"/>
    <col min="12278" max="12278" width="4.08984375" style="101" customWidth="1"/>
    <col min="12279" max="12529" width="9.08984375" style="101"/>
    <col min="12530" max="12530" width="9.54296875" style="101" customWidth="1"/>
    <col min="12531" max="12531" width="71.08984375" style="101" customWidth="1"/>
    <col min="12532" max="12532" width="16.36328125" style="101" customWidth="1"/>
    <col min="12533" max="12533" width="21.90625" style="101" customWidth="1"/>
    <col min="12534" max="12534" width="4.08984375" style="101" customWidth="1"/>
    <col min="12535" max="12785" width="9.08984375" style="101"/>
    <col min="12786" max="12786" width="9.54296875" style="101" customWidth="1"/>
    <col min="12787" max="12787" width="71.08984375" style="101" customWidth="1"/>
    <col min="12788" max="12788" width="16.36328125" style="101" customWidth="1"/>
    <col min="12789" max="12789" width="21.90625" style="101" customWidth="1"/>
    <col min="12790" max="12790" width="4.08984375" style="101" customWidth="1"/>
    <col min="12791" max="13041" width="9.08984375" style="101"/>
    <col min="13042" max="13042" width="9.54296875" style="101" customWidth="1"/>
    <col min="13043" max="13043" width="71.08984375" style="101" customWidth="1"/>
    <col min="13044" max="13044" width="16.36328125" style="101" customWidth="1"/>
    <col min="13045" max="13045" width="21.90625" style="101" customWidth="1"/>
    <col min="13046" max="13046" width="4.08984375" style="101" customWidth="1"/>
    <col min="13047" max="13297" width="9.08984375" style="101"/>
    <col min="13298" max="13298" width="9.54296875" style="101" customWidth="1"/>
    <col min="13299" max="13299" width="71.08984375" style="101" customWidth="1"/>
    <col min="13300" max="13300" width="16.36328125" style="101" customWidth="1"/>
    <col min="13301" max="13301" width="21.90625" style="101" customWidth="1"/>
    <col min="13302" max="13302" width="4.08984375" style="101" customWidth="1"/>
    <col min="13303" max="13553" width="9.08984375" style="101"/>
    <col min="13554" max="13554" width="9.54296875" style="101" customWidth="1"/>
    <col min="13555" max="13555" width="71.08984375" style="101" customWidth="1"/>
    <col min="13556" max="13556" width="16.36328125" style="101" customWidth="1"/>
    <col min="13557" max="13557" width="21.90625" style="101" customWidth="1"/>
    <col min="13558" max="13558" width="4.08984375" style="101" customWidth="1"/>
    <col min="13559" max="13809" width="9.08984375" style="101"/>
    <col min="13810" max="13810" width="9.54296875" style="101" customWidth="1"/>
    <col min="13811" max="13811" width="71.08984375" style="101" customWidth="1"/>
    <col min="13812" max="13812" width="16.36328125" style="101" customWidth="1"/>
    <col min="13813" max="13813" width="21.90625" style="101" customWidth="1"/>
    <col min="13814" max="13814" width="4.08984375" style="101" customWidth="1"/>
    <col min="13815" max="14065" width="9.08984375" style="101"/>
    <col min="14066" max="14066" width="9.54296875" style="101" customWidth="1"/>
    <col min="14067" max="14067" width="71.08984375" style="101" customWidth="1"/>
    <col min="14068" max="14068" width="16.36328125" style="101" customWidth="1"/>
    <col min="14069" max="14069" width="21.90625" style="101" customWidth="1"/>
    <col min="14070" max="14070" width="4.08984375" style="101" customWidth="1"/>
    <col min="14071" max="14321" width="9.08984375" style="101"/>
    <col min="14322" max="14322" width="9.54296875" style="101" customWidth="1"/>
    <col min="14323" max="14323" width="71.08984375" style="101" customWidth="1"/>
    <col min="14324" max="14324" width="16.36328125" style="101" customWidth="1"/>
    <col min="14325" max="14325" width="21.90625" style="101" customWidth="1"/>
    <col min="14326" max="14326" width="4.08984375" style="101" customWidth="1"/>
    <col min="14327" max="14577" width="9.08984375" style="101"/>
    <col min="14578" max="14578" width="9.54296875" style="101" customWidth="1"/>
    <col min="14579" max="14579" width="71.08984375" style="101" customWidth="1"/>
    <col min="14580" max="14580" width="16.36328125" style="101" customWidth="1"/>
    <col min="14581" max="14581" width="21.90625" style="101" customWidth="1"/>
    <col min="14582" max="14582" width="4.08984375" style="101" customWidth="1"/>
    <col min="14583" max="14833" width="9.08984375" style="101"/>
    <col min="14834" max="14834" width="9.54296875" style="101" customWidth="1"/>
    <col min="14835" max="14835" width="71.08984375" style="101" customWidth="1"/>
    <col min="14836" max="14836" width="16.36328125" style="101" customWidth="1"/>
    <col min="14837" max="14837" width="21.90625" style="101" customWidth="1"/>
    <col min="14838" max="14838" width="4.08984375" style="101" customWidth="1"/>
    <col min="14839" max="15089" width="9.08984375" style="101"/>
    <col min="15090" max="15090" width="9.54296875" style="101" customWidth="1"/>
    <col min="15091" max="15091" width="71.08984375" style="101" customWidth="1"/>
    <col min="15092" max="15092" width="16.36328125" style="101" customWidth="1"/>
    <col min="15093" max="15093" width="21.90625" style="101" customWidth="1"/>
    <col min="15094" max="15094" width="4.08984375" style="101" customWidth="1"/>
    <col min="15095" max="15345" width="9.08984375" style="101"/>
    <col min="15346" max="15346" width="9.54296875" style="101" customWidth="1"/>
    <col min="15347" max="15347" width="71.08984375" style="101" customWidth="1"/>
    <col min="15348" max="15348" width="16.36328125" style="101" customWidth="1"/>
    <col min="15349" max="15349" width="21.90625" style="101" customWidth="1"/>
    <col min="15350" max="15350" width="4.08984375" style="101" customWidth="1"/>
    <col min="15351" max="15601" width="9.08984375" style="101"/>
    <col min="15602" max="15602" width="9.54296875" style="101" customWidth="1"/>
    <col min="15603" max="15603" width="71.08984375" style="101" customWidth="1"/>
    <col min="15604" max="15604" width="16.36328125" style="101" customWidth="1"/>
    <col min="15605" max="15605" width="21.90625" style="101" customWidth="1"/>
    <col min="15606" max="15606" width="4.08984375" style="101" customWidth="1"/>
    <col min="15607" max="15857" width="9.08984375" style="101"/>
    <col min="15858" max="15858" width="9.54296875" style="101" customWidth="1"/>
    <col min="15859" max="15859" width="71.08984375" style="101" customWidth="1"/>
    <col min="15860" max="15860" width="16.36328125" style="101" customWidth="1"/>
    <col min="15861" max="15861" width="21.90625" style="101" customWidth="1"/>
    <col min="15862" max="15862" width="4.08984375" style="101" customWidth="1"/>
    <col min="15863" max="16113" width="9.08984375" style="101"/>
    <col min="16114" max="16114" width="9.54296875" style="101" customWidth="1"/>
    <col min="16115" max="16115" width="71.08984375" style="101" customWidth="1"/>
    <col min="16116" max="16116" width="16.36328125" style="101" customWidth="1"/>
    <col min="16117" max="16117" width="21.90625" style="101" customWidth="1"/>
    <col min="16118" max="16118" width="4.08984375" style="101" customWidth="1"/>
    <col min="16119" max="16384" width="9.08984375" style="101"/>
  </cols>
  <sheetData>
    <row r="1" spans="1:5" s="123" customFormat="1">
      <c r="A1" s="139" t="s">
        <v>20</v>
      </c>
      <c r="B1" s="139" t="s">
        <v>1</v>
      </c>
      <c r="C1" s="624" t="s">
        <v>61</v>
      </c>
    </row>
    <row r="2" spans="1:5" ht="14.25" customHeight="1">
      <c r="A2" s="140"/>
      <c r="B2" s="141" t="s">
        <v>521</v>
      </c>
      <c r="C2" s="625"/>
    </row>
    <row r="3" spans="1:5" ht="14.25" customHeight="1">
      <c r="A3" s="142" t="s">
        <v>64</v>
      </c>
      <c r="B3" s="143" t="s">
        <v>1017</v>
      </c>
      <c r="C3" s="626">
        <f>'1 Preliminaries'!C119</f>
        <v>0</v>
      </c>
      <c r="D3" s="125"/>
      <c r="E3" s="125"/>
    </row>
    <row r="4" spans="1:5">
      <c r="A4" s="142"/>
      <c r="B4" s="143"/>
      <c r="C4" s="626"/>
      <c r="D4" s="125"/>
      <c r="E4" s="125"/>
    </row>
    <row r="5" spans="1:5" ht="14.25" customHeight="1">
      <c r="A5" s="142" t="s">
        <v>65</v>
      </c>
      <c r="B5" s="143" t="s">
        <v>1016</v>
      </c>
      <c r="C5" s="626">
        <f>'2. 2No. Vocational Training'!F199</f>
        <v>0</v>
      </c>
      <c r="D5" s="125"/>
      <c r="E5" s="125"/>
    </row>
    <row r="6" spans="1:5">
      <c r="A6" s="142"/>
      <c r="B6" s="143"/>
      <c r="C6" s="626"/>
      <c r="D6" s="125"/>
      <c r="E6" s="125"/>
    </row>
    <row r="7" spans="1:5" ht="14.25" customHeight="1">
      <c r="A7" s="142" t="s">
        <v>66</v>
      </c>
      <c r="B7" s="143" t="str">
        <f>'3. Counseling &amp; Prayer Hall'!B3</f>
        <v>Counseling &amp; Prayer Hall</v>
      </c>
      <c r="C7" s="626">
        <f>'3. Counseling &amp; Prayer Hall'!F219</f>
        <v>0</v>
      </c>
      <c r="D7" s="126"/>
      <c r="E7" s="125"/>
    </row>
    <row r="8" spans="1:5">
      <c r="A8" s="142"/>
      <c r="B8" s="143"/>
      <c r="C8" s="626"/>
      <c r="D8" s="125"/>
      <c r="E8" s="125"/>
    </row>
    <row r="9" spans="1:5" ht="14.25" customHeight="1">
      <c r="A9" s="142" t="s">
        <v>67</v>
      </c>
      <c r="B9" s="143" t="s">
        <v>601</v>
      </c>
      <c r="C9" s="626">
        <f>'4 Library and Literacy Centre'!F206</f>
        <v>0</v>
      </c>
      <c r="D9" s="126"/>
      <c r="E9" s="125"/>
    </row>
    <row r="10" spans="1:5">
      <c r="A10" s="142"/>
      <c r="B10" s="143"/>
      <c r="C10" s="626"/>
      <c r="D10" s="125"/>
      <c r="E10" s="125"/>
    </row>
    <row r="11" spans="1:5" ht="14.25" customHeight="1">
      <c r="A11" s="142" t="s">
        <v>231</v>
      </c>
      <c r="B11" s="143" t="s">
        <v>1018</v>
      </c>
      <c r="C11" s="626">
        <f>'5 IOM OFFICES'!F202</f>
        <v>0</v>
      </c>
      <c r="D11" s="125"/>
      <c r="E11" s="125"/>
    </row>
    <row r="12" spans="1:5">
      <c r="A12" s="142"/>
      <c r="B12" s="143"/>
      <c r="C12" s="626"/>
      <c r="D12" s="125"/>
      <c r="E12" s="125"/>
    </row>
    <row r="13" spans="1:5" ht="14.25" customHeight="1">
      <c r="A13" s="142" t="s">
        <v>232</v>
      </c>
      <c r="B13" s="144" t="s">
        <v>827</v>
      </c>
      <c r="C13" s="626">
        <f>'6 Medical Exam and Partners '!F213</f>
        <v>0</v>
      </c>
      <c r="D13" s="125"/>
      <c r="E13" s="125"/>
    </row>
    <row r="14" spans="1:5">
      <c r="A14" s="142"/>
      <c r="B14" s="143"/>
      <c r="C14" s="626"/>
      <c r="D14" s="125"/>
      <c r="E14" s="125"/>
    </row>
    <row r="15" spans="1:5">
      <c r="A15" s="442" t="s">
        <v>828</v>
      </c>
      <c r="B15" s="443" t="s">
        <v>1243</v>
      </c>
      <c r="C15" s="627">
        <f>'7 Kitchen'!F261</f>
        <v>0</v>
      </c>
      <c r="D15" s="125"/>
      <c r="E15" s="125"/>
    </row>
    <row r="16" spans="1:5">
      <c r="A16" s="442"/>
      <c r="B16" s="443"/>
      <c r="C16" s="627"/>
      <c r="D16" s="125"/>
      <c r="E16" s="125"/>
    </row>
    <row r="17" spans="1:5">
      <c r="A17" s="621" t="s">
        <v>1570</v>
      </c>
      <c r="B17" s="830" t="s">
        <v>1571</v>
      </c>
      <c r="C17" s="628">
        <f>'8 DINING'!F194</f>
        <v>0</v>
      </c>
      <c r="D17" s="125"/>
      <c r="E17" s="125"/>
    </row>
    <row r="18" spans="1:5">
      <c r="A18" s="621"/>
      <c r="B18" s="830"/>
      <c r="C18" s="628"/>
      <c r="D18" s="125"/>
      <c r="E18" s="125"/>
    </row>
    <row r="19" spans="1:5">
      <c r="A19" s="442" t="s">
        <v>829</v>
      </c>
      <c r="B19" s="443" t="s">
        <v>830</v>
      </c>
      <c r="C19" s="627">
        <f>'9 4No. Watch Towers '!F106</f>
        <v>0</v>
      </c>
      <c r="D19" s="125"/>
      <c r="E19" s="125"/>
    </row>
    <row r="20" spans="1:5">
      <c r="A20" s="442"/>
      <c r="B20" s="443"/>
      <c r="C20" s="627"/>
      <c r="D20" s="125"/>
      <c r="E20" s="125"/>
    </row>
    <row r="21" spans="1:5">
      <c r="A21" s="442" t="s">
        <v>831</v>
      </c>
      <c r="B21" s="443" t="s">
        <v>833</v>
      </c>
      <c r="C21" s="627">
        <f>'10. Septic Tank'!F53</f>
        <v>0</v>
      </c>
      <c r="D21" s="125"/>
      <c r="E21" s="125"/>
    </row>
    <row r="22" spans="1:5">
      <c r="A22" s="442"/>
      <c r="B22" s="443"/>
      <c r="C22" s="627"/>
      <c r="D22" s="125"/>
      <c r="E22" s="125"/>
    </row>
    <row r="23" spans="1:5">
      <c r="A23" s="442" t="s">
        <v>832</v>
      </c>
      <c r="B23" s="443" t="s">
        <v>834</v>
      </c>
      <c r="C23" s="627">
        <f>'11. Staff Toilets'!F195</f>
        <v>0</v>
      </c>
      <c r="D23" s="125"/>
      <c r="E23" s="125"/>
    </row>
    <row r="24" spans="1:5">
      <c r="A24" s="442"/>
      <c r="B24" s="443"/>
      <c r="C24" s="627"/>
      <c r="D24" s="125"/>
      <c r="E24" s="125"/>
    </row>
    <row r="25" spans="1:5">
      <c r="A25" s="442" t="s">
        <v>835</v>
      </c>
      <c r="B25" s="443" t="s">
        <v>836</v>
      </c>
      <c r="C25" s="627" t="e">
        <f>#REF!</f>
        <v>#REF!</v>
      </c>
      <c r="D25" s="125"/>
      <c r="E25" s="125"/>
    </row>
    <row r="26" spans="1:5">
      <c r="A26" s="442"/>
      <c r="B26" s="443"/>
      <c r="C26" s="627"/>
      <c r="D26" s="125"/>
      <c r="E26" s="125"/>
    </row>
    <row r="27" spans="1:5">
      <c r="A27" s="442" t="s">
        <v>837</v>
      </c>
      <c r="B27" s="443" t="s">
        <v>838</v>
      </c>
      <c r="C27" s="627">
        <f>'13. Security Fence'!F45</f>
        <v>0</v>
      </c>
      <c r="D27" s="125"/>
      <c r="E27" s="125"/>
    </row>
    <row r="28" spans="1:5">
      <c r="A28" s="442"/>
      <c r="B28" s="443"/>
      <c r="C28" s="627"/>
      <c r="D28" s="125"/>
      <c r="E28" s="125"/>
    </row>
    <row r="29" spans="1:5">
      <c r="A29" s="442" t="s">
        <v>848</v>
      </c>
      <c r="B29" s="443" t="s">
        <v>849</v>
      </c>
      <c r="C29" s="627">
        <f>'14 External Works'!F54</f>
        <v>0</v>
      </c>
      <c r="D29" s="125"/>
      <c r="E29" s="125"/>
    </row>
    <row r="30" spans="1:5">
      <c r="A30" s="442"/>
      <c r="B30" s="443"/>
      <c r="C30" s="627"/>
      <c r="D30" s="125"/>
      <c r="E30" s="125"/>
    </row>
    <row r="31" spans="1:5">
      <c r="A31" s="442" t="s">
        <v>1015</v>
      </c>
      <c r="B31" s="443" t="s">
        <v>1014</v>
      </c>
      <c r="C31" s="627">
        <f>'15 WATER TANK  TOWER'!F111</f>
        <v>0</v>
      </c>
      <c r="D31" s="125"/>
      <c r="E31" s="125"/>
    </row>
    <row r="32" spans="1:5">
      <c r="A32" s="442"/>
      <c r="B32" s="443"/>
      <c r="C32" s="627"/>
      <c r="D32" s="125"/>
      <c r="E32" s="125"/>
    </row>
    <row r="33" spans="1:5">
      <c r="A33" s="1026" t="s">
        <v>1829</v>
      </c>
      <c r="B33" s="1027" t="s">
        <v>1830</v>
      </c>
      <c r="C33" s="1028">
        <f>'16 STREET LIGHTS'!F16</f>
        <v>0</v>
      </c>
      <c r="D33" s="125"/>
      <c r="E33" s="125"/>
    </row>
    <row r="34" spans="1:5">
      <c r="A34" s="442"/>
      <c r="B34" s="443"/>
      <c r="C34" s="627"/>
      <c r="D34" s="125"/>
      <c r="E34" s="125"/>
    </row>
    <row r="35" spans="1:5">
      <c r="A35" s="442" t="s">
        <v>1828</v>
      </c>
      <c r="B35" s="443" t="s">
        <v>1049</v>
      </c>
      <c r="C35" s="627">
        <f>'17 ACCOMMODATION'!F191</f>
        <v>0</v>
      </c>
      <c r="D35" s="125"/>
      <c r="E35" s="125"/>
    </row>
    <row r="36" spans="1:5" ht="14.25" customHeight="1">
      <c r="A36" s="621"/>
      <c r="B36" s="622"/>
      <c r="C36" s="628"/>
      <c r="D36" s="125"/>
      <c r="E36" s="125"/>
    </row>
    <row r="37" spans="1:5">
      <c r="A37" s="442" t="s">
        <v>1741</v>
      </c>
      <c r="B37" s="443" t="s">
        <v>639</v>
      </c>
      <c r="C37" s="627">
        <f>'19 Security house'!F101</f>
        <v>0</v>
      </c>
      <c r="D37" s="125"/>
      <c r="E37" s="125"/>
    </row>
    <row r="38" spans="1:5">
      <c r="A38" s="621"/>
      <c r="B38" s="830"/>
      <c r="C38" s="628"/>
      <c r="D38" s="125"/>
      <c r="E38" s="125"/>
    </row>
    <row r="39" spans="1:5">
      <c r="A39" s="621" t="s">
        <v>1742</v>
      </c>
      <c r="B39" s="830" t="s">
        <v>1743</v>
      </c>
      <c r="C39" s="628">
        <f>'20 TOILET AND SHOWERS'!F222</f>
        <v>0</v>
      </c>
      <c r="D39" s="125"/>
      <c r="E39" s="125"/>
    </row>
    <row r="40" spans="1:5">
      <c r="A40" s="621"/>
      <c r="B40" s="830"/>
      <c r="C40" s="628"/>
      <c r="D40" s="125"/>
      <c r="E40" s="125"/>
    </row>
    <row r="41" spans="1:5" s="127" customFormat="1" ht="14.25" customHeight="1">
      <c r="A41" s="140"/>
      <c r="B41" s="146" t="s">
        <v>1245</v>
      </c>
      <c r="C41" s="629" t="e">
        <f>SUM(C3:C39)</f>
        <v>#REF!</v>
      </c>
      <c r="D41" s="101"/>
      <c r="E41" s="101"/>
    </row>
    <row r="42" spans="1:5" s="127" customFormat="1" ht="14.25" customHeight="1">
      <c r="A42" s="140"/>
      <c r="B42" s="145"/>
      <c r="C42" s="625"/>
      <c r="D42" s="101"/>
      <c r="E42" s="101"/>
    </row>
    <row r="43" spans="1:5" s="127" customFormat="1" ht="14.25" customHeight="1">
      <c r="A43" s="623"/>
      <c r="B43" s="622" t="s">
        <v>1244</v>
      </c>
      <c r="C43" s="630" t="e">
        <f>C41*0.1</f>
        <v>#REF!</v>
      </c>
      <c r="D43" s="101"/>
      <c r="E43" s="101"/>
    </row>
    <row r="44" spans="1:5" s="127" customFormat="1" ht="14.25" customHeight="1">
      <c r="A44" s="623"/>
      <c r="B44" s="622"/>
      <c r="C44" s="630"/>
      <c r="D44" s="101"/>
      <c r="E44" s="101"/>
    </row>
    <row r="45" spans="1:5" s="127" customFormat="1" ht="14.25" customHeight="1">
      <c r="A45" s="623"/>
      <c r="B45" s="146" t="s">
        <v>233</v>
      </c>
      <c r="C45" s="633" t="e">
        <f>C41+C43</f>
        <v>#REF!</v>
      </c>
      <c r="D45" s="101"/>
      <c r="E45" s="101"/>
    </row>
    <row r="46" spans="1:5" s="127" customFormat="1" ht="14.25" customHeight="1">
      <c r="A46" s="623"/>
      <c r="B46" s="622"/>
      <c r="C46" s="630"/>
      <c r="D46" s="101"/>
      <c r="E46" s="101"/>
    </row>
    <row r="47" spans="1:5" s="127" customFormat="1" ht="14.25" customHeight="1">
      <c r="A47" s="623"/>
      <c r="B47" s="622"/>
      <c r="C47" s="630"/>
      <c r="D47" s="101"/>
      <c r="E47" s="101"/>
    </row>
    <row r="48" spans="1:5" s="127" customFormat="1" ht="14.25" customHeight="1">
      <c r="A48" s="623"/>
      <c r="B48" s="622"/>
      <c r="C48" s="630"/>
      <c r="D48" s="101"/>
      <c r="E48" s="101"/>
    </row>
    <row r="49" spans="1:5" s="127" customFormat="1" ht="14.25" customHeight="1">
      <c r="A49" s="623"/>
      <c r="B49" s="622"/>
      <c r="C49" s="630"/>
      <c r="D49" s="101"/>
      <c r="E49" s="101"/>
    </row>
    <row r="50" spans="1:5" s="127" customFormat="1" ht="14.25" customHeight="1">
      <c r="A50" s="145" t="s">
        <v>227</v>
      </c>
      <c r="B50" s="147"/>
      <c r="C50" s="631"/>
    </row>
    <row r="51" spans="1:5" s="127" customFormat="1" ht="14.25" customHeight="1">
      <c r="A51" s="145"/>
      <c r="B51" s="147"/>
      <c r="C51" s="631"/>
    </row>
    <row r="52" spans="1:5">
      <c r="A52" s="145" t="s">
        <v>477</v>
      </c>
      <c r="B52" s="147"/>
      <c r="C52" s="631"/>
      <c r="D52" s="127"/>
      <c r="E52" s="127"/>
    </row>
    <row r="53" spans="1:5">
      <c r="A53" s="145"/>
      <c r="B53" s="147"/>
      <c r="C53" s="631"/>
      <c r="D53" s="127"/>
      <c r="E53" s="127"/>
    </row>
    <row r="54" spans="1:5">
      <c r="A54" s="145" t="s">
        <v>478</v>
      </c>
      <c r="B54" s="147"/>
      <c r="C54" s="631"/>
      <c r="D54" s="127"/>
      <c r="E54" s="127"/>
    </row>
    <row r="55" spans="1:5">
      <c r="A55" s="145"/>
      <c r="B55" s="147"/>
      <c r="C55" s="631"/>
      <c r="D55" s="127"/>
      <c r="E55" s="127"/>
    </row>
    <row r="56" spans="1:5">
      <c r="A56" s="145" t="s">
        <v>475</v>
      </c>
      <c r="B56" s="147"/>
      <c r="C56" s="631"/>
      <c r="D56" s="127"/>
      <c r="E56" s="127"/>
    </row>
    <row r="57" spans="1:5">
      <c r="A57" s="145"/>
      <c r="B57" s="147"/>
      <c r="C57" s="631"/>
      <c r="D57" s="127"/>
      <c r="E57" s="127"/>
    </row>
    <row r="58" spans="1:5">
      <c r="A58" s="145" t="s">
        <v>476</v>
      </c>
      <c r="B58" s="147"/>
      <c r="C58" s="631"/>
      <c r="D58" s="127"/>
      <c r="E58" s="127"/>
    </row>
    <row r="59" spans="1:5">
      <c r="A59" s="145"/>
      <c r="B59" s="147"/>
      <c r="C59" s="631"/>
      <c r="D59" s="127"/>
      <c r="E59" s="127"/>
    </row>
    <row r="60" spans="1:5">
      <c r="A60" s="145" t="s">
        <v>228</v>
      </c>
      <c r="B60" s="147"/>
      <c r="C60" s="631"/>
      <c r="D60" s="127"/>
      <c r="E60" s="127"/>
    </row>
    <row r="61" spans="1:5">
      <c r="A61" s="145"/>
      <c r="B61" s="147"/>
      <c r="C61" s="631"/>
      <c r="D61" s="127"/>
      <c r="E61" s="127"/>
    </row>
    <row r="62" spans="1:5">
      <c r="A62" s="145" t="s">
        <v>473</v>
      </c>
      <c r="B62" s="147"/>
      <c r="C62" s="631"/>
      <c r="D62" s="127"/>
      <c r="E62" s="127"/>
    </row>
    <row r="63" spans="1:5">
      <c r="A63" s="145"/>
      <c r="B63" s="147"/>
      <c r="C63" s="631"/>
      <c r="D63" s="127"/>
      <c r="E63" s="127"/>
    </row>
    <row r="64" spans="1:5">
      <c r="A64" s="145" t="s">
        <v>474</v>
      </c>
      <c r="B64" s="147"/>
      <c r="C64" s="631"/>
      <c r="D64" s="127"/>
      <c r="E64" s="127"/>
    </row>
    <row r="65" spans="1:5">
      <c r="A65" s="145"/>
      <c r="B65" s="147"/>
      <c r="C65" s="631"/>
      <c r="D65" s="127"/>
      <c r="E65" s="127"/>
    </row>
    <row r="66" spans="1:5">
      <c r="A66" s="145" t="s">
        <v>475</v>
      </c>
      <c r="B66" s="147"/>
      <c r="C66" s="631"/>
      <c r="D66" s="127"/>
      <c r="E66" s="127"/>
    </row>
    <row r="67" spans="1:5">
      <c r="A67" s="145"/>
      <c r="B67" s="147"/>
      <c r="C67" s="631"/>
      <c r="D67" s="127"/>
      <c r="E67" s="127"/>
    </row>
    <row r="68" spans="1:5">
      <c r="A68" s="145" t="s">
        <v>476</v>
      </c>
      <c r="B68" s="147"/>
      <c r="C68" s="631"/>
      <c r="D68" s="127"/>
      <c r="E68" s="12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03"/>
  <sheetViews>
    <sheetView view="pageBreakPreview" zoomScale="122" zoomScaleNormal="100" zoomScaleSheetLayoutView="122" workbookViewId="0">
      <pane xSplit="1" ySplit="3" topLeftCell="B6" activePane="bottomRight" state="frozen"/>
      <selection pane="topRight" activeCell="B1" sqref="B1"/>
      <selection pane="bottomLeft" activeCell="A4" sqref="A4"/>
      <selection pane="bottomRight" activeCell="G1" sqref="G1:K1048576"/>
    </sheetView>
  </sheetViews>
  <sheetFormatPr defaultColWidth="9.08984375" defaultRowHeight="14.5"/>
  <cols>
    <col min="1" max="1" width="6.54296875" style="172" bestFit="1" customWidth="1"/>
    <col min="2" max="2" width="55.6328125" style="135" customWidth="1"/>
    <col min="3" max="3" width="5.453125" style="133" bestFit="1" customWidth="1"/>
    <col min="4" max="4" width="6.6328125" style="134" bestFit="1" customWidth="1"/>
    <col min="5" max="5" width="7.08984375" style="136" bestFit="1" customWidth="1"/>
    <col min="6" max="6" width="11.1796875" style="173" bestFit="1" customWidth="1"/>
    <col min="7" max="7" width="12.6328125" style="129" bestFit="1" customWidth="1"/>
    <col min="8" max="17" width="9.08984375" style="103"/>
    <col min="18" max="18" width="6.08984375" style="103" customWidth="1"/>
    <col min="19" max="16384" width="9.08984375" style="103"/>
  </cols>
  <sheetData>
    <row r="1" spans="1:7">
      <c r="A1" s="1060" t="s">
        <v>0</v>
      </c>
      <c r="B1" s="1061" t="s">
        <v>1</v>
      </c>
      <c r="C1" s="1062" t="s">
        <v>2</v>
      </c>
      <c r="D1" s="1063" t="s">
        <v>426</v>
      </c>
      <c r="E1" s="1064" t="s">
        <v>368</v>
      </c>
      <c r="F1" s="1065" t="s">
        <v>472</v>
      </c>
      <c r="G1" s="1058"/>
    </row>
    <row r="2" spans="1:7" s="11" customFormat="1">
      <c r="A2" s="1066"/>
      <c r="B2" s="1067" t="str">
        <f>'1 Preliminaries'!B2</f>
        <v>PROPOSED WOMEN TRANSITION CENTER - KISMAYU</v>
      </c>
      <c r="C2" s="1068"/>
      <c r="D2" s="1069"/>
      <c r="E2" s="1070"/>
      <c r="F2" s="1071"/>
      <c r="G2" s="131"/>
    </row>
    <row r="3" spans="1:7" s="101" customFormat="1" ht="18" customHeight="1">
      <c r="A3" s="1072">
        <v>2</v>
      </c>
      <c r="B3" s="1073" t="s">
        <v>860</v>
      </c>
      <c r="C3" s="1074"/>
      <c r="D3" s="1075"/>
      <c r="E3" s="1076"/>
      <c r="F3" s="1077"/>
      <c r="G3" s="159"/>
    </row>
    <row r="4" spans="1:7" s="11" customFormat="1">
      <c r="A4" s="1078">
        <v>2.1</v>
      </c>
      <c r="B4" s="1067" t="s">
        <v>437</v>
      </c>
      <c r="C4" s="1079"/>
      <c r="D4" s="1080"/>
      <c r="E4" s="1081"/>
      <c r="F4" s="1082"/>
      <c r="G4" s="131"/>
    </row>
    <row r="5" spans="1:7" s="11" customFormat="1">
      <c r="A5" s="1083" t="s">
        <v>530</v>
      </c>
      <c r="B5" s="1084" t="s">
        <v>144</v>
      </c>
      <c r="C5" s="1075" t="s">
        <v>33</v>
      </c>
      <c r="D5" s="1080">
        <v>125</v>
      </c>
      <c r="E5" s="1081"/>
      <c r="F5" s="1082">
        <f>D5*E5</f>
        <v>0</v>
      </c>
      <c r="G5" s="131"/>
    </row>
    <row r="6" spans="1:7" s="11" customFormat="1">
      <c r="A6" s="1083" t="s">
        <v>34</v>
      </c>
      <c r="B6" s="1084" t="s">
        <v>145</v>
      </c>
      <c r="C6" s="1079"/>
      <c r="D6" s="1080"/>
      <c r="E6" s="1081"/>
      <c r="F6" s="1082">
        <f t="shared" ref="F6:F22" si="0">D6*E6</f>
        <v>0</v>
      </c>
      <c r="G6" s="131"/>
    </row>
    <row r="7" spans="1:7" s="11" customFormat="1" ht="29">
      <c r="A7" s="1083" t="s">
        <v>541</v>
      </c>
      <c r="B7" s="1084" t="s">
        <v>438</v>
      </c>
      <c r="C7" s="1075" t="s">
        <v>33</v>
      </c>
      <c r="D7" s="1080">
        <f>D5</f>
        <v>125</v>
      </c>
      <c r="E7" s="1081"/>
      <c r="F7" s="1082">
        <f t="shared" si="0"/>
        <v>0</v>
      </c>
      <c r="G7" s="131"/>
    </row>
    <row r="8" spans="1:7" s="159" customFormat="1" ht="29">
      <c r="A8" s="1085" t="s">
        <v>542</v>
      </c>
      <c r="B8" s="1086" t="s">
        <v>1255</v>
      </c>
      <c r="C8" s="1075" t="s">
        <v>1050</v>
      </c>
      <c r="D8" s="1075">
        <v>16</v>
      </c>
      <c r="E8" s="1076"/>
      <c r="F8" s="1087">
        <f t="shared" si="0"/>
        <v>0</v>
      </c>
    </row>
    <row r="9" spans="1:7" s="159" customFormat="1" ht="16.5">
      <c r="A9" s="1085" t="s">
        <v>543</v>
      </c>
      <c r="B9" s="1086" t="s">
        <v>1257</v>
      </c>
      <c r="C9" s="1075" t="s">
        <v>842</v>
      </c>
      <c r="D9" s="1075">
        <v>10</v>
      </c>
      <c r="E9" s="1076"/>
      <c r="F9" s="1087">
        <f t="shared" si="0"/>
        <v>0</v>
      </c>
    </row>
    <row r="10" spans="1:7" s="159" customFormat="1" ht="16.5">
      <c r="A10" s="1085" t="s">
        <v>544</v>
      </c>
      <c r="B10" s="1086" t="s">
        <v>1252</v>
      </c>
      <c r="C10" s="1075" t="s">
        <v>842</v>
      </c>
      <c r="D10" s="1075">
        <v>8</v>
      </c>
      <c r="E10" s="1076"/>
      <c r="F10" s="1087">
        <f t="shared" si="0"/>
        <v>0</v>
      </c>
    </row>
    <row r="11" spans="1:7" s="159" customFormat="1" ht="16.5">
      <c r="A11" s="1085" t="s">
        <v>545</v>
      </c>
      <c r="B11" s="1086" t="s">
        <v>1253</v>
      </c>
      <c r="C11" s="1075" t="s">
        <v>842</v>
      </c>
      <c r="D11" s="1075">
        <v>8</v>
      </c>
      <c r="E11" s="1076"/>
      <c r="F11" s="1087">
        <f t="shared" si="0"/>
        <v>0</v>
      </c>
    </row>
    <row r="12" spans="1:7" s="159" customFormat="1">
      <c r="A12" s="1085" t="s">
        <v>546</v>
      </c>
      <c r="B12" s="1086" t="s">
        <v>1254</v>
      </c>
      <c r="C12" s="1075"/>
      <c r="D12" s="1075"/>
      <c r="E12" s="1076"/>
      <c r="F12" s="1087"/>
    </row>
    <row r="13" spans="1:7" customFormat="1">
      <c r="A13" s="1088"/>
      <c r="B13" s="1073" t="s">
        <v>30</v>
      </c>
      <c r="C13" s="1074"/>
      <c r="D13" s="1075"/>
      <c r="E13" s="1076"/>
      <c r="F13" s="1089"/>
      <c r="G13" s="163"/>
    </row>
    <row r="14" spans="1:7" s="11" customFormat="1" ht="29">
      <c r="A14" s="1090" t="s">
        <v>547</v>
      </c>
      <c r="B14" s="1084" t="s">
        <v>448</v>
      </c>
      <c r="C14" s="1075" t="s">
        <v>33</v>
      </c>
      <c r="D14" s="1080">
        <f>D7</f>
        <v>125</v>
      </c>
      <c r="E14" s="1081"/>
      <c r="F14" s="1082">
        <f t="shared" si="0"/>
        <v>0</v>
      </c>
      <c r="G14" s="131"/>
    </row>
    <row r="15" spans="1:7" s="11" customFormat="1" ht="29">
      <c r="A15" s="1090" t="s">
        <v>548</v>
      </c>
      <c r="B15" s="1084" t="s">
        <v>367</v>
      </c>
      <c r="C15" s="1075" t="s">
        <v>33</v>
      </c>
      <c r="D15" s="1080">
        <f>D14</f>
        <v>125</v>
      </c>
      <c r="E15" s="1081"/>
      <c r="F15" s="1082">
        <f t="shared" si="0"/>
        <v>0</v>
      </c>
      <c r="G15" s="131"/>
    </row>
    <row r="16" spans="1:7" s="11" customFormat="1">
      <c r="A16" s="1083"/>
      <c r="B16" s="1067" t="s">
        <v>35</v>
      </c>
      <c r="C16" s="1079"/>
      <c r="D16" s="1080"/>
      <c r="E16" s="1081"/>
      <c r="F16" s="1082">
        <f>D16*E16</f>
        <v>0</v>
      </c>
      <c r="G16" s="131"/>
    </row>
    <row r="17" spans="1:7" s="11" customFormat="1" ht="43.5">
      <c r="A17" s="1083" t="s">
        <v>548</v>
      </c>
      <c r="B17" s="1084" t="s">
        <v>593</v>
      </c>
      <c r="C17" s="1075" t="s">
        <v>33</v>
      </c>
      <c r="D17" s="1080">
        <f>D15</f>
        <v>125</v>
      </c>
      <c r="E17" s="1081"/>
      <c r="F17" s="1082">
        <f>D17*E17</f>
        <v>0</v>
      </c>
      <c r="G17" s="131"/>
    </row>
    <row r="18" spans="1:7" s="11" customFormat="1">
      <c r="A18" s="1083"/>
      <c r="B18" s="1067" t="s">
        <v>38</v>
      </c>
      <c r="C18" s="1079"/>
      <c r="D18" s="1080"/>
      <c r="E18" s="1081"/>
      <c r="F18" s="1082">
        <f>D18*E18</f>
        <v>0</v>
      </c>
      <c r="G18" s="131"/>
    </row>
    <row r="19" spans="1:7" s="11" customFormat="1" ht="43.5">
      <c r="A19" s="1083" t="s">
        <v>549</v>
      </c>
      <c r="B19" s="1084" t="s">
        <v>594</v>
      </c>
      <c r="C19" s="1075" t="s">
        <v>33</v>
      </c>
      <c r="D19" s="1080">
        <f>D17</f>
        <v>125</v>
      </c>
      <c r="E19" s="1081"/>
      <c r="F19" s="1082">
        <f>D19*E19</f>
        <v>0</v>
      </c>
      <c r="G19" s="131"/>
    </row>
    <row r="20" spans="1:7" s="11" customFormat="1">
      <c r="A20" s="1083"/>
      <c r="B20" s="1067" t="s">
        <v>443</v>
      </c>
      <c r="C20" s="1079"/>
      <c r="D20" s="1080"/>
      <c r="E20" s="1081"/>
      <c r="F20" s="1082">
        <f t="shared" si="0"/>
        <v>0</v>
      </c>
      <c r="G20" s="131"/>
    </row>
    <row r="21" spans="1:7" s="11" customFormat="1" ht="29">
      <c r="A21" s="1083" t="s">
        <v>548</v>
      </c>
      <c r="B21" s="1084" t="s">
        <v>1258</v>
      </c>
      <c r="C21" s="1075" t="s">
        <v>33</v>
      </c>
      <c r="D21" s="1080">
        <v>66</v>
      </c>
      <c r="E21" s="1081"/>
      <c r="F21" s="1082">
        <f t="shared" si="0"/>
        <v>0</v>
      </c>
      <c r="G21" s="131"/>
    </row>
    <row r="22" spans="1:7" s="11" customFormat="1">
      <c r="A22" s="1083" t="s">
        <v>550</v>
      </c>
      <c r="B22" s="1067" t="s">
        <v>446</v>
      </c>
      <c r="C22" s="1080"/>
      <c r="D22" s="1080"/>
      <c r="E22" s="1081"/>
      <c r="F22" s="1082">
        <f t="shared" si="0"/>
        <v>0</v>
      </c>
      <c r="G22" s="131"/>
    </row>
    <row r="23" spans="1:7" s="644" customFormat="1" ht="43.5">
      <c r="A23" s="1091"/>
      <c r="B23" s="1092" t="s">
        <v>1053</v>
      </c>
      <c r="C23" s="1074"/>
      <c r="D23" s="1076"/>
      <c r="E23" s="1074"/>
      <c r="F23" s="1093"/>
    </row>
    <row r="24" spans="1:7" s="644" customFormat="1">
      <c r="A24" s="1091"/>
      <c r="B24" s="1073" t="s">
        <v>1058</v>
      </c>
      <c r="C24" s="1074"/>
      <c r="D24" s="1076"/>
      <c r="E24" s="1074"/>
      <c r="F24" s="1093"/>
    </row>
    <row r="25" spans="1:7" s="644" customFormat="1">
      <c r="A25" s="1091" t="s">
        <v>590</v>
      </c>
      <c r="B25" s="1086" t="s">
        <v>1054</v>
      </c>
      <c r="C25" s="1074" t="s">
        <v>19</v>
      </c>
      <c r="D25" s="1076">
        <v>80</v>
      </c>
      <c r="E25" s="1074"/>
      <c r="F25" s="1093">
        <f>E25*G26</f>
        <v>0</v>
      </c>
    </row>
    <row r="26" spans="1:7" s="644" customFormat="1">
      <c r="A26" s="1091" t="s">
        <v>591</v>
      </c>
      <c r="B26" s="1086" t="s">
        <v>1055</v>
      </c>
      <c r="C26" s="1074" t="s">
        <v>19</v>
      </c>
      <c r="D26" s="1076">
        <v>215</v>
      </c>
      <c r="E26" s="1074"/>
      <c r="F26" s="1093">
        <f>E26*D26</f>
        <v>0</v>
      </c>
      <c r="G26" s="1059"/>
    </row>
    <row r="27" spans="1:7" s="644" customFormat="1">
      <c r="A27" s="1091"/>
      <c r="B27" s="1073" t="s">
        <v>1062</v>
      </c>
      <c r="C27" s="1074"/>
      <c r="D27" s="1076"/>
      <c r="E27" s="1074"/>
      <c r="F27" s="1093"/>
      <c r="G27" s="646"/>
    </row>
    <row r="28" spans="1:7" s="644" customFormat="1">
      <c r="A28" s="1091" t="s">
        <v>590</v>
      </c>
      <c r="B28" s="1086" t="s">
        <v>1054</v>
      </c>
      <c r="C28" s="1074" t="s">
        <v>879</v>
      </c>
      <c r="D28" s="1076">
        <v>275</v>
      </c>
      <c r="E28" s="1074"/>
      <c r="F28" s="1093">
        <f t="shared" ref="F28:F32" si="1">E28*D28</f>
        <v>0</v>
      </c>
    </row>
    <row r="29" spans="1:7" s="644" customFormat="1">
      <c r="A29" s="1091" t="s">
        <v>591</v>
      </c>
      <c r="B29" s="1086" t="s">
        <v>1055</v>
      </c>
      <c r="C29" s="1074" t="s">
        <v>879</v>
      </c>
      <c r="D29" s="1076">
        <v>250</v>
      </c>
      <c r="E29" s="1074"/>
      <c r="F29" s="1093">
        <f t="shared" si="1"/>
        <v>0</v>
      </c>
      <c r="G29" s="1059"/>
    </row>
    <row r="30" spans="1:7" s="644" customFormat="1">
      <c r="A30" s="1091"/>
      <c r="B30" s="1094" t="s">
        <v>1256</v>
      </c>
      <c r="C30" s="1074"/>
      <c r="D30" s="1074"/>
      <c r="E30" s="1074"/>
      <c r="F30" s="1093"/>
      <c r="G30" s="646"/>
    </row>
    <row r="31" spans="1:7" s="644" customFormat="1">
      <c r="A31" s="1091" t="s">
        <v>559</v>
      </c>
      <c r="B31" s="1086" t="s">
        <v>1054</v>
      </c>
      <c r="C31" s="1074" t="s">
        <v>19</v>
      </c>
      <c r="D31" s="1074">
        <v>40</v>
      </c>
      <c r="E31" s="1074"/>
      <c r="F31" s="1093">
        <f t="shared" si="1"/>
        <v>0</v>
      </c>
      <c r="G31" s="646"/>
    </row>
    <row r="32" spans="1:7" s="644" customFormat="1">
      <c r="A32" s="1091" t="s">
        <v>1056</v>
      </c>
      <c r="B32" s="1086" t="s">
        <v>1055</v>
      </c>
      <c r="C32" s="1074" t="s">
        <v>19</v>
      </c>
      <c r="D32" s="1074">
        <v>200</v>
      </c>
      <c r="E32" s="1074"/>
      <c r="F32" s="1093">
        <f t="shared" si="1"/>
        <v>0</v>
      </c>
    </row>
    <row r="33" spans="1:7" s="644" customFormat="1">
      <c r="A33" s="1091"/>
      <c r="B33" s="1094" t="s">
        <v>1259</v>
      </c>
      <c r="C33" s="1074"/>
      <c r="D33" s="1074"/>
      <c r="E33" s="1074"/>
      <c r="F33" s="1093"/>
    </row>
    <row r="34" spans="1:7" s="159" customFormat="1" ht="29">
      <c r="A34" s="1091" t="s">
        <v>1057</v>
      </c>
      <c r="B34" s="1086" t="s">
        <v>447</v>
      </c>
      <c r="C34" s="1075" t="s">
        <v>588</v>
      </c>
      <c r="D34" s="1075">
        <f>D19</f>
        <v>125</v>
      </c>
      <c r="E34" s="1076"/>
      <c r="F34" s="1087">
        <f>D34*E34</f>
        <v>0</v>
      </c>
    </row>
    <row r="35" spans="1:7" s="159" customFormat="1">
      <c r="A35" s="1085"/>
      <c r="B35" s="1094" t="s">
        <v>440</v>
      </c>
      <c r="C35" s="1074"/>
      <c r="D35" s="1075"/>
      <c r="E35" s="1076"/>
      <c r="F35" s="1087"/>
    </row>
    <row r="36" spans="1:7" s="159" customFormat="1" ht="29">
      <c r="A36" s="1085"/>
      <c r="B36" s="1092" t="s">
        <v>236</v>
      </c>
      <c r="C36" s="1074"/>
      <c r="D36" s="1075"/>
      <c r="E36" s="1076"/>
      <c r="F36" s="1087">
        <f>D36*E36</f>
        <v>0</v>
      </c>
    </row>
    <row r="37" spans="1:7" s="159" customFormat="1" ht="16.5">
      <c r="A37" s="1085" t="s">
        <v>1060</v>
      </c>
      <c r="B37" s="1086" t="s">
        <v>1256</v>
      </c>
      <c r="C37" s="1075" t="s">
        <v>842</v>
      </c>
      <c r="D37" s="1075">
        <v>4</v>
      </c>
      <c r="E37" s="1076"/>
      <c r="F37" s="1087">
        <f>D37*E37</f>
        <v>0</v>
      </c>
    </row>
    <row r="38" spans="1:7" s="159" customFormat="1" ht="16.5">
      <c r="A38" s="1085" t="s">
        <v>1157</v>
      </c>
      <c r="B38" s="1086" t="s">
        <v>442</v>
      </c>
      <c r="C38" s="1075" t="s">
        <v>1050</v>
      </c>
      <c r="D38" s="1075">
        <f>D34*0.15</f>
        <v>18.75</v>
      </c>
      <c r="E38" s="1076"/>
      <c r="F38" s="1087">
        <f>D38*E38</f>
        <v>0</v>
      </c>
    </row>
    <row r="39" spans="1:7" s="159" customFormat="1">
      <c r="A39" s="1085" t="s">
        <v>1260</v>
      </c>
      <c r="B39" s="1086" t="s">
        <v>1058</v>
      </c>
      <c r="C39" s="1075" t="s">
        <v>1059</v>
      </c>
      <c r="D39" s="1075">
        <f>(14.5*2+8.5*4)*0.3</f>
        <v>18.899999999999999</v>
      </c>
      <c r="E39" s="1076"/>
      <c r="F39" s="1087">
        <f t="shared" ref="F39:F40" si="2">D39*E39</f>
        <v>0</v>
      </c>
    </row>
    <row r="40" spans="1:7" s="159" customFormat="1">
      <c r="A40" s="1085" t="s">
        <v>1261</v>
      </c>
      <c r="B40" s="1086" t="s">
        <v>1061</v>
      </c>
      <c r="C40" s="1075" t="s">
        <v>1059</v>
      </c>
      <c r="D40" s="1075">
        <v>11</v>
      </c>
      <c r="E40" s="1076"/>
      <c r="F40" s="1087">
        <f t="shared" si="2"/>
        <v>0</v>
      </c>
    </row>
    <row r="41" spans="1:7" s="159" customFormat="1">
      <c r="A41" s="1085"/>
      <c r="B41" s="1094" t="s">
        <v>1262</v>
      </c>
      <c r="C41" s="1075"/>
      <c r="D41" s="1075"/>
      <c r="E41" s="1076"/>
      <c r="F41" s="1087"/>
    </row>
    <row r="42" spans="1:7" s="159" customFormat="1" ht="16.5">
      <c r="A42" s="1085" t="s">
        <v>544</v>
      </c>
      <c r="B42" s="1086" t="s">
        <v>1052</v>
      </c>
      <c r="C42" s="1075" t="s">
        <v>588</v>
      </c>
      <c r="D42" s="1075">
        <v>55</v>
      </c>
      <c r="E42" s="1076"/>
      <c r="F42" s="1087">
        <f>D42*E42</f>
        <v>0</v>
      </c>
    </row>
    <row r="43" spans="1:7" s="132" customFormat="1">
      <c r="A43" s="1078"/>
      <c r="B43" s="1095" t="s">
        <v>1191</v>
      </c>
      <c r="C43" s="1096"/>
      <c r="D43" s="1096"/>
      <c r="E43" s="1097"/>
      <c r="F43" s="1098">
        <f>SUM(F3:F42)</f>
        <v>0</v>
      </c>
    </row>
    <row r="44" spans="1:7" s="129" customFormat="1">
      <c r="A44" s="1060" t="s">
        <v>0</v>
      </c>
      <c r="B44" s="1061" t="s">
        <v>1</v>
      </c>
      <c r="C44" s="1062" t="s">
        <v>2</v>
      </c>
      <c r="D44" s="1063" t="s">
        <v>426</v>
      </c>
      <c r="E44" s="1064" t="s">
        <v>368</v>
      </c>
      <c r="F44" s="1065" t="s">
        <v>472</v>
      </c>
      <c r="G44" s="1058"/>
    </row>
    <row r="45" spans="1:7" s="131" customFormat="1" ht="29">
      <c r="A45" s="1066"/>
      <c r="B45" s="1067" t="s">
        <v>1158</v>
      </c>
      <c r="C45" s="1068"/>
      <c r="D45" s="1069"/>
      <c r="E45" s="1070"/>
      <c r="F45" s="1071"/>
    </row>
    <row r="46" spans="1:7" s="652" customFormat="1">
      <c r="A46" s="1099">
        <v>2.2000000000000002</v>
      </c>
      <c r="B46" s="1073" t="s">
        <v>1063</v>
      </c>
      <c r="C46" s="1074"/>
      <c r="D46" s="1075"/>
      <c r="E46" s="1076"/>
      <c r="F46" s="1100"/>
    </row>
    <row r="47" spans="1:7" s="652" customFormat="1">
      <c r="A47" s="1085"/>
      <c r="B47" s="1086"/>
      <c r="C47" s="1074"/>
      <c r="D47" s="1075"/>
      <c r="E47" s="1076"/>
      <c r="F47" s="1100"/>
    </row>
    <row r="48" spans="1:7" s="644" customFormat="1">
      <c r="A48" s="1091"/>
      <c r="B48" s="1092" t="s">
        <v>1064</v>
      </c>
      <c r="C48" s="1074"/>
      <c r="D48" s="1076"/>
      <c r="E48" s="1074"/>
      <c r="F48" s="1093"/>
    </row>
    <row r="49" spans="1:7" s="655" customFormat="1">
      <c r="A49" s="1101" t="s">
        <v>551</v>
      </c>
      <c r="B49" s="1102" t="s">
        <v>1065</v>
      </c>
      <c r="C49" s="1103" t="s">
        <v>425</v>
      </c>
      <c r="D49" s="1075">
        <v>11</v>
      </c>
      <c r="E49" s="1103"/>
      <c r="F49" s="1104">
        <f>E49*D49</f>
        <v>0</v>
      </c>
    </row>
    <row r="50" spans="1:7" s="159" customFormat="1" ht="16.5">
      <c r="A50" s="1085" t="s">
        <v>1057</v>
      </c>
      <c r="B50" s="1086" t="s">
        <v>1251</v>
      </c>
      <c r="C50" s="1075" t="s">
        <v>608</v>
      </c>
      <c r="D50" s="1075">
        <f>D34*0.15</f>
        <v>18.75</v>
      </c>
      <c r="E50" s="1076"/>
      <c r="F50" s="1087">
        <f>D50*E50</f>
        <v>0</v>
      </c>
    </row>
    <row r="51" spans="1:7" s="644" customFormat="1" ht="17.399999999999999" customHeight="1">
      <c r="A51" s="1091"/>
      <c r="B51" s="1092" t="s">
        <v>771</v>
      </c>
      <c r="C51" s="1074"/>
      <c r="D51" s="1076"/>
      <c r="E51" s="1074"/>
      <c r="F51" s="1093"/>
    </row>
    <row r="52" spans="1:7" s="644" customFormat="1">
      <c r="A52" s="1091"/>
      <c r="B52" s="1092" t="s">
        <v>772</v>
      </c>
      <c r="C52" s="1074"/>
      <c r="D52" s="1076"/>
      <c r="E52" s="1074"/>
      <c r="F52" s="1093"/>
    </row>
    <row r="53" spans="1:7" s="644" customFormat="1">
      <c r="A53" s="1091" t="s">
        <v>552</v>
      </c>
      <c r="B53" s="1086" t="s">
        <v>1066</v>
      </c>
      <c r="C53" s="1074" t="s">
        <v>19</v>
      </c>
      <c r="D53" s="1075">
        <v>350</v>
      </c>
      <c r="E53" s="1074"/>
      <c r="F53" s="1093">
        <f>E53*D53</f>
        <v>0</v>
      </c>
    </row>
    <row r="54" spans="1:7" s="644" customFormat="1">
      <c r="A54" s="1091" t="s">
        <v>553</v>
      </c>
      <c r="B54" s="1086" t="s">
        <v>1067</v>
      </c>
      <c r="C54" s="1074" t="s">
        <v>19</v>
      </c>
      <c r="D54" s="1076">
        <v>400</v>
      </c>
      <c r="E54" s="1074"/>
      <c r="F54" s="1093">
        <f>E54*D54</f>
        <v>0</v>
      </c>
      <c r="G54" s="1059"/>
    </row>
    <row r="55" spans="1:7" s="644" customFormat="1">
      <c r="A55" s="1091"/>
      <c r="B55" s="1073" t="s">
        <v>1068</v>
      </c>
      <c r="C55" s="1074"/>
      <c r="D55" s="1076"/>
      <c r="E55" s="1074"/>
      <c r="F55" s="1093"/>
    </row>
    <row r="56" spans="1:7" s="644" customFormat="1">
      <c r="A56" s="1091" t="s">
        <v>554</v>
      </c>
      <c r="B56" s="1086" t="s">
        <v>1069</v>
      </c>
      <c r="C56" s="1074" t="s">
        <v>33</v>
      </c>
      <c r="D56" s="1075">
        <v>200</v>
      </c>
      <c r="E56" s="1074"/>
      <c r="F56" s="1093">
        <f>D56*E56</f>
        <v>0</v>
      </c>
    </row>
    <row r="57" spans="1:7" s="159" customFormat="1">
      <c r="A57" s="1085" t="s">
        <v>1057</v>
      </c>
      <c r="B57" s="1086" t="s">
        <v>1251</v>
      </c>
      <c r="C57" s="1075" t="s">
        <v>33</v>
      </c>
      <c r="D57" s="1075">
        <f>D19</f>
        <v>125</v>
      </c>
      <c r="E57" s="1076"/>
      <c r="F57" s="1087">
        <f>D57*E57</f>
        <v>0</v>
      </c>
    </row>
    <row r="58" spans="1:7" s="658" customFormat="1">
      <c r="A58" s="1094"/>
      <c r="B58" s="1094" t="s">
        <v>1070</v>
      </c>
      <c r="C58" s="1105"/>
      <c r="D58" s="1106"/>
      <c r="E58" s="1105"/>
      <c r="F58" s="1107">
        <f>SUM(F46:F56)</f>
        <v>0</v>
      </c>
    </row>
    <row r="59" spans="1:7" s="658" customFormat="1">
      <c r="A59" s="1094"/>
      <c r="B59" s="1094"/>
      <c r="C59" s="1105"/>
      <c r="D59" s="1106"/>
      <c r="E59" s="1105"/>
      <c r="F59" s="1107"/>
    </row>
    <row r="60" spans="1:7" s="644" customFormat="1">
      <c r="A60" s="1108">
        <v>2.2999999999999998</v>
      </c>
      <c r="B60" s="1073" t="s">
        <v>1071</v>
      </c>
      <c r="C60" s="1074"/>
      <c r="D60" s="1076"/>
      <c r="E60" s="1074"/>
      <c r="F60" s="1093"/>
    </row>
    <row r="61" spans="1:7" s="644" customFormat="1">
      <c r="A61" s="1091"/>
      <c r="B61" s="1092" t="s">
        <v>1072</v>
      </c>
      <c r="C61" s="1074"/>
      <c r="D61" s="1076"/>
      <c r="E61" s="1074"/>
      <c r="F61" s="1093"/>
    </row>
    <row r="62" spans="1:7" s="644" customFormat="1">
      <c r="A62" s="1091"/>
      <c r="B62" s="1109" t="s">
        <v>1073</v>
      </c>
      <c r="C62" s="1074"/>
      <c r="D62" s="1076"/>
      <c r="E62" s="1074"/>
      <c r="F62" s="1093"/>
    </row>
    <row r="63" spans="1:7" s="644" customFormat="1">
      <c r="A63" s="1091"/>
      <c r="B63" s="1092" t="s">
        <v>52</v>
      </c>
      <c r="C63" s="1074"/>
      <c r="D63" s="1076"/>
      <c r="E63" s="1074"/>
      <c r="F63" s="1093"/>
    </row>
    <row r="64" spans="1:7" s="644" customFormat="1">
      <c r="A64" s="1091"/>
      <c r="B64" s="1092" t="s">
        <v>53</v>
      </c>
      <c r="C64" s="1074"/>
      <c r="D64" s="1076"/>
      <c r="E64" s="1074"/>
      <c r="F64" s="1093"/>
    </row>
    <row r="65" spans="1:198" s="644" customFormat="1">
      <c r="A65" s="1091"/>
      <c r="B65" s="1092" t="s">
        <v>54</v>
      </c>
      <c r="C65" s="1074"/>
      <c r="D65" s="1076"/>
      <c r="E65" s="1074"/>
      <c r="F65" s="1093"/>
    </row>
    <row r="66" spans="1:198" s="644" customFormat="1">
      <c r="A66" s="1091" t="s">
        <v>555</v>
      </c>
      <c r="B66" s="1086" t="s">
        <v>1074</v>
      </c>
      <c r="C66" s="1074" t="s">
        <v>33</v>
      </c>
      <c r="D66" s="1110">
        <v>150</v>
      </c>
      <c r="E66" s="1074"/>
      <c r="F66" s="1093">
        <f>E66*D66</f>
        <v>0</v>
      </c>
    </row>
    <row r="67" spans="1:198" s="644" customFormat="1">
      <c r="A67" s="1091" t="s">
        <v>556</v>
      </c>
      <c r="B67" s="1086" t="s">
        <v>1075</v>
      </c>
      <c r="C67" s="1074" t="s">
        <v>33</v>
      </c>
      <c r="D67" s="1110">
        <v>60</v>
      </c>
      <c r="E67" s="1074"/>
      <c r="F67" s="1093">
        <f>E67*D67</f>
        <v>0</v>
      </c>
    </row>
    <row r="68" spans="1:198" s="644" customFormat="1">
      <c r="A68" s="1091" t="s">
        <v>557</v>
      </c>
      <c r="B68" s="1092" t="s">
        <v>1039</v>
      </c>
      <c r="C68" s="1074"/>
      <c r="D68" s="1076"/>
      <c r="E68" s="1074"/>
      <c r="F68" s="1093"/>
    </row>
    <row r="69" spans="1:198" s="644" customFormat="1">
      <c r="A69" s="1091" t="s">
        <v>558</v>
      </c>
      <c r="B69" s="1086" t="s">
        <v>1040</v>
      </c>
      <c r="C69" s="1074" t="s">
        <v>50</v>
      </c>
      <c r="D69" s="1110">
        <v>70</v>
      </c>
      <c r="E69" s="1074"/>
      <c r="F69" s="1093">
        <f>E69*D69</f>
        <v>0</v>
      </c>
    </row>
    <row r="70" spans="1:198" s="644" customFormat="1">
      <c r="A70" s="1091"/>
      <c r="B70" s="1094" t="s">
        <v>1076</v>
      </c>
      <c r="C70" s="1105"/>
      <c r="D70" s="1076"/>
      <c r="E70" s="1074"/>
      <c r="F70" s="1107">
        <f>SUM(F61:F69)</f>
        <v>0</v>
      </c>
    </row>
    <row r="71" spans="1:198" s="150" customFormat="1" ht="15.5">
      <c r="A71" s="1111"/>
      <c r="B71" s="1112"/>
      <c r="C71" s="1113"/>
      <c r="D71" s="1113"/>
      <c r="E71" s="1114"/>
      <c r="F71" s="1115"/>
      <c r="G71" s="165"/>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c r="CL71" s="153"/>
      <c r="CM71" s="153"/>
      <c r="CN71" s="153"/>
      <c r="CO71" s="153"/>
      <c r="CP71" s="153"/>
      <c r="CQ71" s="153"/>
      <c r="CR71" s="153"/>
      <c r="CS71" s="153"/>
      <c r="CT71" s="153"/>
      <c r="CU71" s="153"/>
      <c r="CV71" s="153"/>
      <c r="CW71" s="153"/>
      <c r="CX71" s="153"/>
      <c r="CY71" s="153"/>
      <c r="CZ71" s="153"/>
      <c r="DA71" s="153"/>
      <c r="DB71" s="153"/>
      <c r="DC71" s="153"/>
      <c r="DD71" s="153"/>
      <c r="DE71" s="153"/>
      <c r="DF71" s="153"/>
      <c r="DG71" s="153"/>
      <c r="DH71" s="153"/>
      <c r="DI71" s="153"/>
      <c r="DJ71" s="153"/>
      <c r="DK71" s="153"/>
      <c r="DL71" s="153"/>
      <c r="DM71" s="153"/>
      <c r="DN71" s="153"/>
      <c r="DO71" s="153"/>
      <c r="DP71" s="153"/>
      <c r="DQ71" s="153"/>
      <c r="DR71" s="153"/>
      <c r="DS71" s="153"/>
      <c r="DT71" s="153"/>
      <c r="DU71" s="153"/>
      <c r="DV71" s="153"/>
      <c r="DW71" s="153"/>
      <c r="DX71" s="153"/>
      <c r="DY71" s="153"/>
      <c r="DZ71" s="153"/>
      <c r="EA71" s="153"/>
      <c r="EB71" s="153"/>
      <c r="EC71" s="153"/>
      <c r="ED71" s="153"/>
      <c r="EE71" s="153"/>
      <c r="EF71" s="153"/>
      <c r="EG71" s="153"/>
      <c r="EH71" s="153"/>
      <c r="EI71" s="153"/>
      <c r="EJ71" s="153"/>
      <c r="EK71" s="153"/>
      <c r="EL71" s="153"/>
      <c r="EM71" s="153"/>
      <c r="EN71" s="153"/>
      <c r="EO71" s="153"/>
      <c r="EP71" s="153"/>
      <c r="EQ71" s="153"/>
      <c r="ER71" s="153"/>
      <c r="ES71" s="153"/>
      <c r="ET71" s="153"/>
      <c r="EU71" s="153"/>
      <c r="EV71" s="153"/>
      <c r="EW71" s="153"/>
      <c r="EX71" s="153"/>
      <c r="EY71" s="153"/>
      <c r="EZ71" s="153"/>
      <c r="FA71" s="153"/>
      <c r="FB71" s="153"/>
      <c r="FC71" s="153"/>
      <c r="FD71" s="153"/>
      <c r="FE71" s="153"/>
      <c r="FF71" s="153"/>
      <c r="FG71" s="153"/>
      <c r="FH71" s="153"/>
      <c r="FI71" s="153"/>
      <c r="FJ71" s="153"/>
      <c r="FK71" s="153"/>
      <c r="FL71" s="153"/>
      <c r="FM71" s="153"/>
      <c r="FN71" s="153"/>
      <c r="FO71" s="153"/>
      <c r="FP71" s="153"/>
      <c r="FQ71" s="153"/>
      <c r="FR71" s="153"/>
      <c r="FS71" s="153"/>
      <c r="FT71" s="153"/>
      <c r="FU71" s="153"/>
      <c r="FV71" s="153"/>
      <c r="FW71" s="153"/>
      <c r="FX71" s="153"/>
      <c r="FY71" s="153"/>
      <c r="FZ71" s="153"/>
      <c r="GA71" s="153"/>
      <c r="GB71" s="153"/>
      <c r="GC71" s="153"/>
      <c r="GD71" s="153"/>
      <c r="GE71" s="153"/>
      <c r="GF71" s="153"/>
      <c r="GG71" s="153"/>
      <c r="GH71" s="153"/>
      <c r="GI71" s="153"/>
      <c r="GJ71" s="153"/>
      <c r="GK71" s="153"/>
      <c r="GL71" s="153"/>
      <c r="GM71" s="153"/>
      <c r="GN71" s="153"/>
      <c r="GO71" s="153"/>
      <c r="GP71" s="153"/>
    </row>
    <row r="72" spans="1:198" s="152" customFormat="1" ht="15.5">
      <c r="A72" s="1111">
        <v>2.4</v>
      </c>
      <c r="B72" s="1116" t="s">
        <v>1162</v>
      </c>
      <c r="C72" s="1117"/>
      <c r="D72" s="1117"/>
      <c r="E72" s="1118"/>
      <c r="F72" s="1119"/>
      <c r="G72" s="164"/>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151"/>
      <c r="BY72" s="151"/>
      <c r="BZ72" s="151"/>
      <c r="CA72" s="151"/>
      <c r="CB72" s="151"/>
      <c r="CC72" s="151"/>
      <c r="CD72" s="151"/>
      <c r="CE72" s="151"/>
      <c r="CF72" s="151"/>
      <c r="CG72" s="151"/>
      <c r="CH72" s="151"/>
      <c r="CI72" s="151"/>
      <c r="CJ72" s="151"/>
      <c r="CK72" s="151"/>
      <c r="CL72" s="151"/>
      <c r="CM72" s="151"/>
      <c r="CN72" s="151"/>
      <c r="CO72" s="151"/>
      <c r="CP72" s="151"/>
      <c r="CQ72" s="151"/>
      <c r="CR72" s="151"/>
      <c r="CS72" s="151"/>
      <c r="CT72" s="151"/>
      <c r="CU72" s="151"/>
      <c r="CV72" s="151"/>
      <c r="CW72" s="151"/>
      <c r="CX72" s="151"/>
      <c r="CY72" s="151"/>
      <c r="CZ72" s="151"/>
      <c r="DA72" s="151"/>
      <c r="DB72" s="151"/>
      <c r="DC72" s="151"/>
      <c r="DD72" s="151"/>
      <c r="DE72" s="151"/>
      <c r="DF72" s="151"/>
      <c r="DG72" s="151"/>
      <c r="DH72" s="151"/>
      <c r="DI72" s="151"/>
      <c r="DJ72" s="151"/>
      <c r="DK72" s="151"/>
      <c r="DL72" s="151"/>
      <c r="DM72" s="151"/>
      <c r="DN72" s="151"/>
      <c r="DO72" s="151"/>
      <c r="DP72" s="151"/>
      <c r="DQ72" s="151"/>
      <c r="DR72" s="151"/>
      <c r="DS72" s="151"/>
      <c r="DT72" s="151"/>
      <c r="DU72" s="151"/>
      <c r="DV72" s="151"/>
      <c r="DW72" s="151"/>
      <c r="DX72" s="151"/>
      <c r="DY72" s="151"/>
      <c r="DZ72" s="151"/>
      <c r="EA72" s="151"/>
      <c r="EB72" s="151"/>
      <c r="EC72" s="151"/>
      <c r="ED72" s="151"/>
      <c r="EE72" s="151"/>
      <c r="EF72" s="151"/>
      <c r="EG72" s="151"/>
      <c r="EH72" s="151"/>
      <c r="EI72" s="151"/>
      <c r="EJ72" s="151"/>
      <c r="EK72" s="151"/>
      <c r="EL72" s="151"/>
      <c r="EM72" s="151"/>
      <c r="EN72" s="151"/>
      <c r="EO72" s="151"/>
      <c r="EP72" s="151"/>
      <c r="EQ72" s="151"/>
      <c r="ER72" s="151"/>
      <c r="ES72" s="151"/>
      <c r="ET72" s="151"/>
      <c r="EU72" s="151"/>
      <c r="EV72" s="151"/>
      <c r="EW72" s="151"/>
      <c r="EX72" s="151"/>
      <c r="EY72" s="151"/>
      <c r="EZ72" s="151"/>
      <c r="FA72" s="151"/>
      <c r="FB72" s="151"/>
      <c r="FC72" s="151"/>
      <c r="FD72" s="151"/>
      <c r="FE72" s="151"/>
      <c r="FF72" s="151"/>
      <c r="FG72" s="151"/>
      <c r="FH72" s="151"/>
      <c r="FI72" s="151"/>
      <c r="FJ72" s="151"/>
      <c r="FK72" s="151"/>
      <c r="FL72" s="151"/>
      <c r="FM72" s="151"/>
      <c r="FN72" s="151"/>
      <c r="FO72" s="151"/>
      <c r="FP72" s="151"/>
      <c r="FQ72" s="151"/>
      <c r="FR72" s="151"/>
      <c r="FS72" s="151"/>
      <c r="FT72" s="151"/>
      <c r="FU72" s="151"/>
      <c r="FV72" s="151"/>
      <c r="FW72" s="151"/>
      <c r="FX72" s="151"/>
      <c r="FY72" s="151"/>
      <c r="FZ72" s="151"/>
      <c r="GA72" s="151"/>
      <c r="GB72" s="151"/>
      <c r="GC72" s="151"/>
      <c r="GD72" s="151"/>
      <c r="GE72" s="151"/>
      <c r="GF72" s="151"/>
      <c r="GG72" s="151"/>
      <c r="GH72" s="151"/>
      <c r="GI72" s="151"/>
      <c r="GJ72" s="151"/>
      <c r="GK72" s="151"/>
      <c r="GL72" s="151"/>
      <c r="GM72" s="151"/>
      <c r="GN72" s="151"/>
      <c r="GO72" s="151"/>
      <c r="GP72" s="151"/>
    </row>
    <row r="73" spans="1:198" s="154" customFormat="1" ht="29.4" customHeight="1">
      <c r="A73" s="1120" t="s">
        <v>34</v>
      </c>
      <c r="B73" s="1121" t="s">
        <v>496</v>
      </c>
      <c r="C73" s="1122" t="s">
        <v>34</v>
      </c>
      <c r="D73" s="1122"/>
      <c r="E73" s="1122"/>
      <c r="F73" s="1123"/>
      <c r="G73" s="166"/>
    </row>
    <row r="74" spans="1:198" s="152" customFormat="1" ht="29.4" customHeight="1">
      <c r="A74" s="1124" t="s">
        <v>560</v>
      </c>
      <c r="B74" s="1125" t="s">
        <v>497</v>
      </c>
      <c r="C74" s="1080" t="s">
        <v>33</v>
      </c>
      <c r="D74" s="1080">
        <f>D5*1.4</f>
        <v>175</v>
      </c>
      <c r="E74" s="1081"/>
      <c r="F74" s="1119">
        <f>D74*E74</f>
        <v>0</v>
      </c>
      <c r="G74" s="164"/>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c r="BX74" s="151"/>
      <c r="BY74" s="151"/>
      <c r="BZ74" s="151"/>
      <c r="CA74" s="151"/>
      <c r="CB74" s="151"/>
      <c r="CC74" s="151"/>
      <c r="CD74" s="151"/>
      <c r="CE74" s="151"/>
      <c r="CF74" s="151"/>
      <c r="CG74" s="151"/>
      <c r="CH74" s="151"/>
      <c r="CI74" s="151"/>
      <c r="CJ74" s="151"/>
      <c r="CK74" s="151"/>
      <c r="CL74" s="151"/>
      <c r="CM74" s="151"/>
      <c r="CN74" s="151"/>
      <c r="CO74" s="151"/>
      <c r="CP74" s="151"/>
      <c r="CQ74" s="151"/>
      <c r="CR74" s="151"/>
      <c r="CS74" s="151"/>
      <c r="CT74" s="151"/>
      <c r="CU74" s="151"/>
      <c r="CV74" s="151"/>
      <c r="CW74" s="151"/>
      <c r="CX74" s="151"/>
      <c r="CY74" s="151"/>
      <c r="CZ74" s="151"/>
      <c r="DA74" s="151"/>
      <c r="DB74" s="151"/>
      <c r="DC74" s="151"/>
      <c r="DD74" s="151"/>
      <c r="DE74" s="151"/>
      <c r="DF74" s="151"/>
      <c r="DG74" s="151"/>
      <c r="DH74" s="151"/>
      <c r="DI74" s="151"/>
      <c r="DJ74" s="151"/>
      <c r="DK74" s="151"/>
      <c r="DL74" s="151"/>
      <c r="DM74" s="151"/>
      <c r="DN74" s="151"/>
      <c r="DO74" s="151"/>
      <c r="DP74" s="151"/>
      <c r="DQ74" s="151"/>
      <c r="DR74" s="151"/>
      <c r="DS74" s="151"/>
      <c r="DT74" s="151"/>
      <c r="DU74" s="151"/>
      <c r="DV74" s="151"/>
      <c r="DW74" s="151"/>
      <c r="DX74" s="151"/>
      <c r="DY74" s="151"/>
      <c r="DZ74" s="151"/>
      <c r="EA74" s="151"/>
      <c r="EB74" s="151"/>
      <c r="EC74" s="151"/>
      <c r="ED74" s="151"/>
      <c r="EE74" s="151"/>
      <c r="EF74" s="151"/>
      <c r="EG74" s="151"/>
      <c r="EH74" s="151"/>
      <c r="EI74" s="151"/>
      <c r="EJ74" s="151"/>
      <c r="EK74" s="151"/>
      <c r="EL74" s="151"/>
      <c r="EM74" s="151"/>
      <c r="EN74" s="151"/>
      <c r="EO74" s="151"/>
      <c r="EP74" s="151"/>
      <c r="EQ74" s="151"/>
      <c r="ER74" s="151"/>
      <c r="ES74" s="151"/>
      <c r="ET74" s="151"/>
      <c r="EU74" s="151"/>
      <c r="EV74" s="151"/>
      <c r="EW74" s="151"/>
      <c r="EX74" s="151"/>
      <c r="EY74" s="151"/>
      <c r="EZ74" s="151"/>
      <c r="FA74" s="151"/>
      <c r="FB74" s="151"/>
      <c r="FC74" s="151"/>
      <c r="FD74" s="151"/>
      <c r="FE74" s="151"/>
      <c r="FF74" s="151"/>
      <c r="FG74" s="151"/>
      <c r="FH74" s="151"/>
      <c r="FI74" s="151"/>
      <c r="FJ74" s="151"/>
      <c r="FK74" s="151"/>
      <c r="FL74" s="151"/>
      <c r="FM74" s="151"/>
      <c r="FN74" s="151"/>
      <c r="FO74" s="151"/>
      <c r="FP74" s="151"/>
      <c r="FQ74" s="151"/>
      <c r="FR74" s="151"/>
      <c r="FS74" s="151"/>
      <c r="FT74" s="151"/>
      <c r="FU74" s="151"/>
      <c r="FV74" s="151"/>
      <c r="FW74" s="151"/>
      <c r="FX74" s="151"/>
      <c r="FY74" s="151"/>
      <c r="FZ74" s="151"/>
      <c r="GA74" s="151"/>
      <c r="GB74" s="151"/>
      <c r="GC74" s="151"/>
      <c r="GD74" s="151"/>
      <c r="GE74" s="151"/>
      <c r="GF74" s="151"/>
      <c r="GG74" s="151"/>
      <c r="GH74" s="151"/>
      <c r="GI74" s="151"/>
      <c r="GJ74" s="151"/>
      <c r="GK74" s="151"/>
      <c r="GL74" s="151"/>
      <c r="GM74" s="151"/>
      <c r="GN74" s="151"/>
      <c r="GO74" s="151"/>
      <c r="GP74" s="151"/>
    </row>
    <row r="75" spans="1:198" s="154" customFormat="1" ht="19.25" customHeight="1">
      <c r="A75" s="1124" t="s">
        <v>561</v>
      </c>
      <c r="B75" s="1122" t="s">
        <v>379</v>
      </c>
      <c r="C75" s="1075" t="s">
        <v>50</v>
      </c>
      <c r="D75" s="1075">
        <f>25*5</f>
        <v>125</v>
      </c>
      <c r="E75" s="1076"/>
      <c r="F75" s="1119">
        <f t="shared" ref="F75:F80" si="3">D75*E75</f>
        <v>0</v>
      </c>
      <c r="G75" s="166"/>
    </row>
    <row r="76" spans="1:198" s="154" customFormat="1" ht="19.25" customHeight="1">
      <c r="A76" s="1124" t="s">
        <v>562</v>
      </c>
      <c r="B76" s="1122" t="s">
        <v>380</v>
      </c>
      <c r="C76" s="1075" t="s">
        <v>50</v>
      </c>
      <c r="D76" s="1075">
        <f>(13.4*8)</f>
        <v>107.2</v>
      </c>
      <c r="E76" s="1076"/>
      <c r="F76" s="1119">
        <f t="shared" si="3"/>
        <v>0</v>
      </c>
      <c r="G76" s="166"/>
    </row>
    <row r="77" spans="1:198" s="154" customFormat="1" ht="19.25" customHeight="1">
      <c r="A77" s="1124" t="s">
        <v>563</v>
      </c>
      <c r="B77" s="1122" t="s">
        <v>381</v>
      </c>
      <c r="C77" s="1074" t="s">
        <v>50</v>
      </c>
      <c r="D77" s="1075">
        <v>70</v>
      </c>
      <c r="E77" s="1076"/>
      <c r="F77" s="1119">
        <f t="shared" si="3"/>
        <v>0</v>
      </c>
      <c r="G77" s="166"/>
    </row>
    <row r="78" spans="1:198" s="154" customFormat="1" ht="19.25" customHeight="1">
      <c r="A78" s="1124" t="s">
        <v>564</v>
      </c>
      <c r="B78" s="1122" t="s">
        <v>382</v>
      </c>
      <c r="C78" s="1080" t="s">
        <v>50</v>
      </c>
      <c r="D78" s="1080">
        <v>50</v>
      </c>
      <c r="E78" s="1081"/>
      <c r="F78" s="1119">
        <f t="shared" si="3"/>
        <v>0</v>
      </c>
      <c r="G78" s="166"/>
    </row>
    <row r="79" spans="1:198" s="154" customFormat="1" ht="19.25" customHeight="1">
      <c r="A79" s="1124" t="s">
        <v>565</v>
      </c>
      <c r="B79" s="1122" t="s">
        <v>383</v>
      </c>
      <c r="C79" s="1080" t="s">
        <v>50</v>
      </c>
      <c r="D79" s="1080">
        <v>20</v>
      </c>
      <c r="E79" s="1081"/>
      <c r="F79" s="1119">
        <f t="shared" si="3"/>
        <v>0</v>
      </c>
      <c r="G79" s="166"/>
    </row>
    <row r="80" spans="1:198" s="154" customFormat="1" ht="19.25" customHeight="1">
      <c r="A80" s="1124" t="s">
        <v>566</v>
      </c>
      <c r="B80" s="1122" t="s">
        <v>384</v>
      </c>
      <c r="C80" s="1080" t="s">
        <v>50</v>
      </c>
      <c r="D80" s="1080">
        <v>6</v>
      </c>
      <c r="E80" s="1081"/>
      <c r="F80" s="1119">
        <f t="shared" si="3"/>
        <v>0</v>
      </c>
      <c r="G80" s="166"/>
    </row>
    <row r="81" spans="1:198" s="154" customFormat="1" ht="15.5">
      <c r="A81" s="1120" t="s">
        <v>34</v>
      </c>
      <c r="B81" s="1126" t="s">
        <v>388</v>
      </c>
      <c r="C81" s="1122" t="s">
        <v>34</v>
      </c>
      <c r="D81" s="1122" t="s">
        <v>34</v>
      </c>
      <c r="E81" s="1122"/>
      <c r="F81" s="1127"/>
      <c r="G81" s="166"/>
    </row>
    <row r="82" spans="1:198" s="152" customFormat="1" ht="29.4" customHeight="1">
      <c r="A82" s="1124" t="s">
        <v>567</v>
      </c>
      <c r="B82" s="1125" t="s">
        <v>522</v>
      </c>
      <c r="C82" s="1080" t="s">
        <v>33</v>
      </c>
      <c r="D82" s="1080">
        <v>74</v>
      </c>
      <c r="E82" s="1081"/>
      <c r="F82" s="1082">
        <f>D82*E82</f>
        <v>0</v>
      </c>
      <c r="G82" s="164"/>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c r="BI82" s="151"/>
      <c r="BJ82" s="151"/>
      <c r="BK82" s="151"/>
      <c r="BL82" s="151"/>
      <c r="BM82" s="151"/>
      <c r="BN82" s="151"/>
      <c r="BO82" s="151"/>
      <c r="BP82" s="151"/>
      <c r="BQ82" s="151"/>
      <c r="BR82" s="151"/>
      <c r="BS82" s="151"/>
      <c r="BT82" s="151"/>
      <c r="BU82" s="151"/>
      <c r="BV82" s="151"/>
      <c r="BW82" s="151"/>
      <c r="BX82" s="151"/>
      <c r="BY82" s="151"/>
      <c r="BZ82" s="151"/>
      <c r="CA82" s="151"/>
      <c r="CB82" s="151"/>
      <c r="CC82" s="151"/>
      <c r="CD82" s="151"/>
      <c r="CE82" s="151"/>
      <c r="CF82" s="151"/>
      <c r="CG82" s="151"/>
      <c r="CH82" s="151"/>
      <c r="CI82" s="151"/>
      <c r="CJ82" s="151"/>
      <c r="CK82" s="151"/>
      <c r="CL82" s="151"/>
      <c r="CM82" s="151"/>
      <c r="CN82" s="151"/>
      <c r="CO82" s="151"/>
      <c r="CP82" s="151"/>
      <c r="CQ82" s="151"/>
      <c r="CR82" s="151"/>
      <c r="CS82" s="151"/>
      <c r="CT82" s="151"/>
      <c r="CU82" s="151"/>
      <c r="CV82" s="151"/>
      <c r="CW82" s="151"/>
      <c r="CX82" s="151"/>
      <c r="CY82" s="151"/>
      <c r="CZ82" s="151"/>
      <c r="DA82" s="151"/>
      <c r="DB82" s="151"/>
      <c r="DC82" s="151"/>
      <c r="DD82" s="151"/>
      <c r="DE82" s="151"/>
      <c r="DF82" s="151"/>
      <c r="DG82" s="151"/>
      <c r="DH82" s="151"/>
      <c r="DI82" s="151"/>
      <c r="DJ82" s="151"/>
      <c r="DK82" s="151"/>
      <c r="DL82" s="151"/>
      <c r="DM82" s="151"/>
      <c r="DN82" s="151"/>
      <c r="DO82" s="151"/>
      <c r="DP82" s="151"/>
      <c r="DQ82" s="151"/>
      <c r="DR82" s="151"/>
      <c r="DS82" s="151"/>
      <c r="DT82" s="151"/>
      <c r="DU82" s="151"/>
      <c r="DV82" s="151"/>
      <c r="DW82" s="151"/>
      <c r="DX82" s="151"/>
      <c r="DY82" s="151"/>
      <c r="DZ82" s="151"/>
      <c r="EA82" s="151"/>
      <c r="EB82" s="151"/>
      <c r="EC82" s="151"/>
      <c r="ED82" s="151"/>
      <c r="EE82" s="151"/>
      <c r="EF82" s="151"/>
      <c r="EG82" s="151"/>
      <c r="EH82" s="151"/>
      <c r="EI82" s="151"/>
      <c r="EJ82" s="151"/>
      <c r="EK82" s="151"/>
      <c r="EL82" s="151"/>
      <c r="EM82" s="151"/>
      <c r="EN82" s="151"/>
      <c r="EO82" s="151"/>
      <c r="EP82" s="151"/>
      <c r="EQ82" s="151"/>
      <c r="ER82" s="151"/>
      <c r="ES82" s="151"/>
      <c r="ET82" s="151"/>
      <c r="EU82" s="151"/>
      <c r="EV82" s="151"/>
      <c r="EW82" s="151"/>
      <c r="EX82" s="151"/>
      <c r="EY82" s="151"/>
      <c r="EZ82" s="151"/>
      <c r="FA82" s="151"/>
      <c r="FB82" s="151"/>
      <c r="FC82" s="151"/>
      <c r="FD82" s="151"/>
      <c r="FE82" s="151"/>
      <c r="FF82" s="151"/>
      <c r="FG82" s="151"/>
      <c r="FH82" s="151"/>
      <c r="FI82" s="151"/>
      <c r="FJ82" s="151"/>
      <c r="FK82" s="151"/>
      <c r="FL82" s="151"/>
      <c r="FM82" s="151"/>
      <c r="FN82" s="151"/>
      <c r="FO82" s="151"/>
      <c r="FP82" s="151"/>
      <c r="FQ82" s="151"/>
      <c r="FR82" s="151"/>
      <c r="FS82" s="151"/>
      <c r="FT82" s="151"/>
      <c r="FU82" s="151"/>
      <c r="FV82" s="151"/>
      <c r="FW82" s="151"/>
      <c r="FX82" s="151"/>
      <c r="FY82" s="151"/>
      <c r="FZ82" s="151"/>
      <c r="GA82" s="151"/>
      <c r="GB82" s="151"/>
      <c r="GC82" s="151"/>
      <c r="GD82" s="151"/>
      <c r="GE82" s="151"/>
      <c r="GF82" s="151"/>
      <c r="GG82" s="151"/>
      <c r="GH82" s="151"/>
      <c r="GI82" s="151"/>
      <c r="GJ82" s="151"/>
      <c r="GK82" s="151"/>
      <c r="GL82" s="151"/>
      <c r="GM82" s="151"/>
      <c r="GN82" s="151"/>
      <c r="GO82" s="151"/>
      <c r="GP82" s="151"/>
    </row>
    <row r="83" spans="1:198" s="152" customFormat="1" ht="29.4" customHeight="1">
      <c r="A83" s="1124" t="s">
        <v>568</v>
      </c>
      <c r="B83" s="1125" t="s">
        <v>495</v>
      </c>
      <c r="C83" s="1075" t="s">
        <v>33</v>
      </c>
      <c r="D83" s="1075">
        <f>D82</f>
        <v>74</v>
      </c>
      <c r="E83" s="1076"/>
      <c r="F83" s="1082">
        <f>D83*E83</f>
        <v>0</v>
      </c>
      <c r="G83" s="164"/>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1"/>
      <c r="BN83" s="151"/>
      <c r="BO83" s="151"/>
      <c r="BP83" s="151"/>
      <c r="BQ83" s="151"/>
      <c r="BR83" s="151"/>
      <c r="BS83" s="151"/>
      <c r="BT83" s="151"/>
      <c r="BU83" s="151"/>
      <c r="BV83" s="151"/>
      <c r="BW83" s="151"/>
      <c r="BX83" s="151"/>
      <c r="BY83" s="151"/>
      <c r="BZ83" s="151"/>
      <c r="CA83" s="151"/>
      <c r="CB83" s="151"/>
      <c r="CC83" s="151"/>
      <c r="CD83" s="151"/>
      <c r="CE83" s="151"/>
      <c r="CF83" s="151"/>
      <c r="CG83" s="151"/>
      <c r="CH83" s="151"/>
      <c r="CI83" s="151"/>
      <c r="CJ83" s="151"/>
      <c r="CK83" s="151"/>
      <c r="CL83" s="151"/>
      <c r="CM83" s="151"/>
      <c r="CN83" s="151"/>
      <c r="CO83" s="151"/>
      <c r="CP83" s="151"/>
      <c r="CQ83" s="151"/>
      <c r="CR83" s="151"/>
      <c r="CS83" s="151"/>
      <c r="CT83" s="151"/>
      <c r="CU83" s="151"/>
      <c r="CV83" s="151"/>
      <c r="CW83" s="151"/>
      <c r="CX83" s="151"/>
      <c r="CY83" s="151"/>
      <c r="CZ83" s="151"/>
      <c r="DA83" s="151"/>
      <c r="DB83" s="151"/>
      <c r="DC83" s="151"/>
      <c r="DD83" s="151"/>
      <c r="DE83" s="151"/>
      <c r="DF83" s="151"/>
      <c r="DG83" s="151"/>
      <c r="DH83" s="151"/>
      <c r="DI83" s="151"/>
      <c r="DJ83" s="151"/>
      <c r="DK83" s="151"/>
      <c r="DL83" s="151"/>
      <c r="DM83" s="151"/>
      <c r="DN83" s="151"/>
      <c r="DO83" s="151"/>
      <c r="DP83" s="151"/>
      <c r="DQ83" s="151"/>
      <c r="DR83" s="151"/>
      <c r="DS83" s="151"/>
      <c r="DT83" s="151"/>
      <c r="DU83" s="151"/>
      <c r="DV83" s="151"/>
      <c r="DW83" s="151"/>
      <c r="DX83" s="151"/>
      <c r="DY83" s="151"/>
      <c r="DZ83" s="151"/>
      <c r="EA83" s="151"/>
      <c r="EB83" s="151"/>
      <c r="EC83" s="151"/>
      <c r="ED83" s="151"/>
      <c r="EE83" s="151"/>
      <c r="EF83" s="151"/>
      <c r="EG83" s="151"/>
      <c r="EH83" s="151"/>
      <c r="EI83" s="151"/>
      <c r="EJ83" s="151"/>
      <c r="EK83" s="151"/>
      <c r="EL83" s="151"/>
      <c r="EM83" s="151"/>
      <c r="EN83" s="151"/>
      <c r="EO83" s="151"/>
      <c r="EP83" s="151"/>
      <c r="EQ83" s="151"/>
      <c r="ER83" s="151"/>
      <c r="ES83" s="151"/>
      <c r="ET83" s="151"/>
      <c r="EU83" s="151"/>
      <c r="EV83" s="151"/>
      <c r="EW83" s="151"/>
      <c r="EX83" s="151"/>
      <c r="EY83" s="151"/>
      <c r="EZ83" s="151"/>
      <c r="FA83" s="151"/>
      <c r="FB83" s="151"/>
      <c r="FC83" s="151"/>
      <c r="FD83" s="151"/>
      <c r="FE83" s="151"/>
      <c r="FF83" s="151"/>
      <c r="FG83" s="151"/>
      <c r="FH83" s="151"/>
      <c r="FI83" s="151"/>
      <c r="FJ83" s="151"/>
      <c r="FK83" s="151"/>
      <c r="FL83" s="151"/>
      <c r="FM83" s="151"/>
      <c r="FN83" s="151"/>
      <c r="FO83" s="151"/>
      <c r="FP83" s="151"/>
      <c r="FQ83" s="151"/>
      <c r="FR83" s="151"/>
      <c r="FS83" s="151"/>
      <c r="FT83" s="151"/>
      <c r="FU83" s="151"/>
      <c r="FV83" s="151"/>
      <c r="FW83" s="151"/>
      <c r="FX83" s="151"/>
      <c r="FY83" s="151"/>
      <c r="FZ83" s="151"/>
      <c r="GA83" s="151"/>
      <c r="GB83" s="151"/>
      <c r="GC83" s="151"/>
      <c r="GD83" s="151"/>
      <c r="GE83" s="151"/>
      <c r="GF83" s="151"/>
      <c r="GG83" s="151"/>
      <c r="GH83" s="151"/>
      <c r="GI83" s="151"/>
      <c r="GJ83" s="151"/>
      <c r="GK83" s="151"/>
      <c r="GL83" s="151"/>
      <c r="GM83" s="151"/>
      <c r="GN83" s="151"/>
      <c r="GO83" s="151"/>
      <c r="GP83" s="151"/>
    </row>
    <row r="84" spans="1:198" s="154" customFormat="1" ht="15.5">
      <c r="A84" s="1124" t="s">
        <v>1163</v>
      </c>
      <c r="B84" s="1122" t="s">
        <v>391</v>
      </c>
      <c r="C84" s="1075" t="s">
        <v>50</v>
      </c>
      <c r="D84" s="1075">
        <v>43</v>
      </c>
      <c r="E84" s="1076"/>
      <c r="F84" s="1082">
        <f t="shared" ref="F84:F116" si="4">E84*D84</f>
        <v>0</v>
      </c>
      <c r="G84" s="166"/>
    </row>
    <row r="85" spans="1:198" s="154" customFormat="1" ht="15.5">
      <c r="A85" s="1124" t="s">
        <v>1164</v>
      </c>
      <c r="B85" s="1126" t="s">
        <v>395</v>
      </c>
      <c r="C85" s="1074" t="s">
        <v>34</v>
      </c>
      <c r="D85" s="1075" t="s">
        <v>34</v>
      </c>
      <c r="E85" s="1076"/>
      <c r="F85" s="1082"/>
      <c r="G85" s="166"/>
    </row>
    <row r="86" spans="1:198" s="154" customFormat="1" ht="29.4" customHeight="1">
      <c r="A86" s="1124" t="s">
        <v>1165</v>
      </c>
      <c r="B86" s="1122" t="s">
        <v>396</v>
      </c>
      <c r="C86" s="1080" t="s">
        <v>50</v>
      </c>
      <c r="D86" s="1080">
        <f>D84</f>
        <v>43</v>
      </c>
      <c r="E86" s="1081"/>
      <c r="F86" s="1082">
        <f t="shared" si="4"/>
        <v>0</v>
      </c>
      <c r="G86" s="166"/>
    </row>
    <row r="87" spans="1:198" s="154" customFormat="1" ht="15.5">
      <c r="A87" s="1120" t="s">
        <v>34</v>
      </c>
      <c r="B87" s="1126" t="s">
        <v>498</v>
      </c>
      <c r="C87" s="1080" t="s">
        <v>34</v>
      </c>
      <c r="D87" s="1080" t="s">
        <v>34</v>
      </c>
      <c r="E87" s="1081"/>
      <c r="F87" s="1082"/>
      <c r="G87" s="166"/>
    </row>
    <row r="88" spans="1:198" s="154" customFormat="1" ht="29.4" customHeight="1">
      <c r="A88" s="1120" t="s">
        <v>568</v>
      </c>
      <c r="B88" s="1122" t="s">
        <v>398</v>
      </c>
      <c r="C88" s="1080" t="s">
        <v>50</v>
      </c>
      <c r="D88" s="1080">
        <v>12</v>
      </c>
      <c r="E88" s="1081"/>
      <c r="F88" s="1082">
        <f>E88*D88</f>
        <v>0</v>
      </c>
      <c r="G88" s="166"/>
    </row>
    <row r="89" spans="1:198" s="154" customFormat="1" ht="15.5">
      <c r="A89" s="1124"/>
      <c r="B89" s="1122"/>
      <c r="C89" s="1080"/>
      <c r="D89" s="1080"/>
      <c r="E89" s="1081"/>
      <c r="F89" s="1082"/>
      <c r="G89" s="166"/>
    </row>
    <row r="90" spans="1:198" s="155" customFormat="1" ht="15.5">
      <c r="A90" s="1128"/>
      <c r="B90" s="1121" t="s">
        <v>1840</v>
      </c>
      <c r="C90" s="1096"/>
      <c r="D90" s="1096"/>
      <c r="E90" s="1097"/>
      <c r="F90" s="1098">
        <f>SUM(F74:F88)</f>
        <v>0</v>
      </c>
      <c r="G90" s="167"/>
    </row>
    <row r="91" spans="1:198">
      <c r="A91" s="1060" t="s">
        <v>0</v>
      </c>
      <c r="B91" s="1061" t="s">
        <v>1</v>
      </c>
      <c r="C91" s="1062" t="s">
        <v>2</v>
      </c>
      <c r="D91" s="1063" t="s">
        <v>426</v>
      </c>
      <c r="E91" s="1064" t="s">
        <v>368</v>
      </c>
      <c r="F91" s="1065" t="s">
        <v>472</v>
      </c>
      <c r="G91" s="1058"/>
    </row>
    <row r="92" spans="1:198" s="11" customFormat="1">
      <c r="A92" s="1060"/>
      <c r="B92" s="1061" t="s">
        <v>482</v>
      </c>
      <c r="C92" s="1062"/>
      <c r="D92" s="1063"/>
      <c r="E92" s="1064"/>
      <c r="F92" s="1065">
        <f>F90</f>
        <v>0</v>
      </c>
      <c r="G92" s="131"/>
    </row>
    <row r="93" spans="1:198" s="11" customFormat="1">
      <c r="A93" s="1066"/>
      <c r="B93" s="1067" t="s">
        <v>1159</v>
      </c>
      <c r="C93" s="1068"/>
      <c r="D93" s="1069"/>
      <c r="E93" s="1070"/>
      <c r="F93" s="1071"/>
      <c r="G93" s="131"/>
    </row>
    <row r="94" spans="1:198" s="154" customFormat="1" ht="19.25" customHeight="1">
      <c r="A94" s="1120" t="s">
        <v>1163</v>
      </c>
      <c r="B94" s="1122" t="s">
        <v>399</v>
      </c>
      <c r="C94" s="1080" t="s">
        <v>387</v>
      </c>
      <c r="D94" s="1080">
        <v>4</v>
      </c>
      <c r="E94" s="1081"/>
      <c r="F94" s="1082">
        <f t="shared" si="4"/>
        <v>0</v>
      </c>
      <c r="G94" s="166"/>
    </row>
    <row r="95" spans="1:198" s="154" customFormat="1" ht="18.649999999999999" customHeight="1">
      <c r="A95" s="1120" t="s">
        <v>1164</v>
      </c>
      <c r="B95" s="1122" t="s">
        <v>400</v>
      </c>
      <c r="C95" s="1075" t="s">
        <v>387</v>
      </c>
      <c r="D95" s="1075">
        <f>D94</f>
        <v>4</v>
      </c>
      <c r="E95" s="1076"/>
      <c r="F95" s="1082">
        <f t="shared" si="4"/>
        <v>0</v>
      </c>
      <c r="G95" s="166"/>
    </row>
    <row r="96" spans="1:198" s="154" customFormat="1" ht="19.25" customHeight="1">
      <c r="A96" s="1120" t="s">
        <v>1165</v>
      </c>
      <c r="B96" s="1122" t="s">
        <v>401</v>
      </c>
      <c r="C96" s="1075" t="s">
        <v>34</v>
      </c>
      <c r="D96" s="1075" t="s">
        <v>34</v>
      </c>
      <c r="E96" s="1076"/>
      <c r="F96" s="1082"/>
      <c r="G96" s="166"/>
    </row>
    <row r="97" spans="1:198" s="154" customFormat="1" ht="15.5">
      <c r="A97" s="1120" t="s">
        <v>1166</v>
      </c>
      <c r="B97" s="1122" t="s">
        <v>403</v>
      </c>
      <c r="C97" s="1074" t="s">
        <v>50</v>
      </c>
      <c r="D97" s="1075">
        <f>D86</f>
        <v>43</v>
      </c>
      <c r="E97" s="1076"/>
      <c r="F97" s="1082">
        <f t="shared" si="4"/>
        <v>0</v>
      </c>
      <c r="G97" s="166"/>
    </row>
    <row r="98" spans="1:198" s="154" customFormat="1" ht="19.25" customHeight="1">
      <c r="A98" s="1120" t="s">
        <v>1167</v>
      </c>
      <c r="B98" s="1122" t="s">
        <v>404</v>
      </c>
      <c r="C98" s="1080" t="s">
        <v>50</v>
      </c>
      <c r="D98" s="1080">
        <f>D97</f>
        <v>43</v>
      </c>
      <c r="E98" s="1081"/>
      <c r="F98" s="1082">
        <f t="shared" si="4"/>
        <v>0</v>
      </c>
      <c r="G98" s="166"/>
    </row>
    <row r="99" spans="1:198" s="155" customFormat="1" ht="19.25" customHeight="1">
      <c r="A99" s="1129"/>
      <c r="B99" s="1121" t="s">
        <v>1160</v>
      </c>
      <c r="C99" s="1096"/>
      <c r="D99" s="1096"/>
      <c r="E99" s="1097"/>
      <c r="F99" s="1098">
        <f>SUM(F92:F98)</f>
        <v>0</v>
      </c>
      <c r="G99" s="167"/>
    </row>
    <row r="100" spans="1:198" s="154" customFormat="1" ht="15.5">
      <c r="A100" s="1130"/>
      <c r="B100" s="1126"/>
      <c r="C100" s="1080"/>
      <c r="D100" s="1080"/>
      <c r="E100" s="1081"/>
      <c r="F100" s="1082">
        <f t="shared" si="4"/>
        <v>0</v>
      </c>
      <c r="G100" s="166"/>
    </row>
    <row r="101" spans="1:198" s="152" customFormat="1" ht="15.5">
      <c r="A101" s="1131">
        <v>2.5</v>
      </c>
      <c r="B101" s="1116" t="s">
        <v>1168</v>
      </c>
      <c r="C101" s="1080"/>
      <c r="D101" s="1080"/>
      <c r="E101" s="1081"/>
      <c r="F101" s="1082">
        <f t="shared" si="4"/>
        <v>0</v>
      </c>
      <c r="G101" s="164"/>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c r="BI101" s="151"/>
      <c r="BJ101" s="151"/>
      <c r="BK101" s="151"/>
      <c r="BL101" s="151"/>
      <c r="BM101" s="151"/>
      <c r="BN101" s="151"/>
      <c r="BO101" s="151"/>
      <c r="BP101" s="151"/>
      <c r="BQ101" s="151"/>
      <c r="BR101" s="151"/>
      <c r="BS101" s="151"/>
      <c r="BT101" s="151"/>
      <c r="BU101" s="151"/>
      <c r="BV101" s="151"/>
      <c r="BW101" s="151"/>
      <c r="BX101" s="151"/>
      <c r="BY101" s="151"/>
      <c r="BZ101" s="151"/>
      <c r="CA101" s="151"/>
      <c r="CB101" s="151"/>
      <c r="CC101" s="151"/>
      <c r="CD101" s="151"/>
      <c r="CE101" s="151"/>
      <c r="CF101" s="151"/>
      <c r="CG101" s="151"/>
      <c r="CH101" s="151"/>
      <c r="CI101" s="151"/>
      <c r="CJ101" s="151"/>
      <c r="CK101" s="151"/>
      <c r="CL101" s="151"/>
      <c r="CM101" s="151"/>
      <c r="CN101" s="151"/>
      <c r="CO101" s="151"/>
      <c r="CP101" s="151"/>
      <c r="CQ101" s="151"/>
      <c r="CR101" s="151"/>
      <c r="CS101" s="151"/>
      <c r="CT101" s="151"/>
      <c r="CU101" s="151"/>
      <c r="CV101" s="151"/>
      <c r="CW101" s="151"/>
      <c r="CX101" s="151"/>
      <c r="CY101" s="151"/>
      <c r="CZ101" s="151"/>
      <c r="DA101" s="151"/>
      <c r="DB101" s="151"/>
      <c r="DC101" s="151"/>
      <c r="DD101" s="151"/>
      <c r="DE101" s="151"/>
      <c r="DF101" s="151"/>
      <c r="DG101" s="151"/>
      <c r="DH101" s="151"/>
      <c r="DI101" s="151"/>
      <c r="DJ101" s="151"/>
      <c r="DK101" s="151"/>
      <c r="DL101" s="151"/>
      <c r="DM101" s="151"/>
      <c r="DN101" s="151"/>
      <c r="DO101" s="151"/>
      <c r="DP101" s="151"/>
      <c r="DQ101" s="151"/>
      <c r="DR101" s="151"/>
      <c r="DS101" s="151"/>
      <c r="DT101" s="151"/>
      <c r="DU101" s="151"/>
      <c r="DV101" s="151"/>
      <c r="DW101" s="151"/>
      <c r="DX101" s="151"/>
      <c r="DY101" s="151"/>
      <c r="DZ101" s="151"/>
      <c r="EA101" s="151"/>
      <c r="EB101" s="151"/>
      <c r="EC101" s="151"/>
      <c r="ED101" s="151"/>
      <c r="EE101" s="151"/>
      <c r="EF101" s="151"/>
      <c r="EG101" s="151"/>
      <c r="EH101" s="151"/>
      <c r="EI101" s="151"/>
      <c r="EJ101" s="151"/>
      <c r="EK101" s="151"/>
      <c r="EL101" s="151"/>
      <c r="EM101" s="151"/>
      <c r="EN101" s="151"/>
      <c r="EO101" s="151"/>
      <c r="EP101" s="151"/>
      <c r="EQ101" s="151"/>
      <c r="ER101" s="151"/>
      <c r="ES101" s="151"/>
      <c r="ET101" s="151"/>
      <c r="EU101" s="151"/>
      <c r="EV101" s="151"/>
      <c r="EW101" s="151"/>
      <c r="EX101" s="151"/>
      <c r="EY101" s="151"/>
      <c r="EZ101" s="151"/>
      <c r="FA101" s="151"/>
      <c r="FB101" s="151"/>
      <c r="FC101" s="151"/>
      <c r="FD101" s="151"/>
      <c r="FE101" s="151"/>
      <c r="FF101" s="151"/>
      <c r="FG101" s="151"/>
      <c r="FH101" s="151"/>
      <c r="FI101" s="151"/>
      <c r="FJ101" s="151"/>
      <c r="FK101" s="151"/>
      <c r="FL101" s="151"/>
      <c r="FM101" s="151"/>
      <c r="FN101" s="151"/>
      <c r="FO101" s="151"/>
      <c r="FP101" s="151"/>
      <c r="FQ101" s="151"/>
      <c r="FR101" s="151"/>
      <c r="FS101" s="151"/>
      <c r="FT101" s="151"/>
      <c r="FU101" s="151"/>
      <c r="FV101" s="151"/>
      <c r="FW101" s="151"/>
      <c r="FX101" s="151"/>
      <c r="FY101" s="151"/>
      <c r="FZ101" s="151"/>
      <c r="GA101" s="151"/>
      <c r="GB101" s="151"/>
      <c r="GC101" s="151"/>
      <c r="GD101" s="151"/>
      <c r="GE101" s="151"/>
      <c r="GF101" s="151"/>
      <c r="GG101" s="151"/>
      <c r="GH101" s="151"/>
      <c r="GI101" s="151"/>
      <c r="GJ101" s="151"/>
      <c r="GK101" s="151"/>
      <c r="GL101" s="151"/>
      <c r="GM101" s="151"/>
      <c r="GN101" s="151"/>
      <c r="GO101" s="151"/>
      <c r="GP101" s="151"/>
    </row>
    <row r="102" spans="1:198" s="154" customFormat="1" ht="29.4" customHeight="1">
      <c r="A102" s="1132" t="s">
        <v>569</v>
      </c>
      <c r="B102" s="1122" t="s">
        <v>499</v>
      </c>
      <c r="C102" s="1080" t="s">
        <v>387</v>
      </c>
      <c r="D102" s="1080">
        <v>3</v>
      </c>
      <c r="E102" s="1081"/>
      <c r="F102" s="1082">
        <f t="shared" si="4"/>
        <v>0</v>
      </c>
      <c r="G102" s="166"/>
    </row>
    <row r="103" spans="1:198" s="154" customFormat="1" ht="29.4" customHeight="1">
      <c r="A103" s="1132" t="s">
        <v>1169</v>
      </c>
      <c r="B103" s="1122" t="s">
        <v>500</v>
      </c>
      <c r="C103" s="1075" t="s">
        <v>50</v>
      </c>
      <c r="D103" s="1075">
        <v>15</v>
      </c>
      <c r="E103" s="1076"/>
      <c r="F103" s="1082">
        <f t="shared" si="4"/>
        <v>0</v>
      </c>
      <c r="G103" s="166"/>
    </row>
    <row r="104" spans="1:198" s="154" customFormat="1" ht="15.5">
      <c r="A104" s="1132" t="s">
        <v>1170</v>
      </c>
      <c r="B104" s="1122" t="s">
        <v>501</v>
      </c>
      <c r="C104" s="1075" t="s">
        <v>50</v>
      </c>
      <c r="D104" s="1075">
        <f>D103*2</f>
        <v>30</v>
      </c>
      <c r="E104" s="1076"/>
      <c r="F104" s="1082">
        <f t="shared" si="4"/>
        <v>0</v>
      </c>
      <c r="G104" s="166"/>
    </row>
    <row r="105" spans="1:198" s="154" customFormat="1" ht="15.5">
      <c r="A105" s="1132" t="s">
        <v>1171</v>
      </c>
      <c r="B105" s="1122" t="s">
        <v>502</v>
      </c>
      <c r="C105" s="1074" t="s">
        <v>50</v>
      </c>
      <c r="D105" s="1075">
        <f>D104</f>
        <v>30</v>
      </c>
      <c r="E105" s="1076"/>
      <c r="F105" s="1082">
        <f t="shared" si="4"/>
        <v>0</v>
      </c>
      <c r="G105" s="166"/>
    </row>
    <row r="106" spans="1:198" s="154" customFormat="1" ht="15.5">
      <c r="A106" s="1132" t="s">
        <v>34</v>
      </c>
      <c r="B106" s="1126" t="s">
        <v>503</v>
      </c>
      <c r="C106" s="1080" t="s">
        <v>34</v>
      </c>
      <c r="D106" s="1080" t="s">
        <v>34</v>
      </c>
      <c r="E106" s="1081"/>
      <c r="F106" s="1082"/>
      <c r="G106" s="166"/>
    </row>
    <row r="107" spans="1:198" s="154" customFormat="1" ht="29.4" customHeight="1">
      <c r="A107" s="1132" t="s">
        <v>1172</v>
      </c>
      <c r="B107" s="1122" t="s">
        <v>504</v>
      </c>
      <c r="C107" s="1080" t="s">
        <v>34</v>
      </c>
      <c r="D107" s="1080" t="s">
        <v>34</v>
      </c>
      <c r="E107" s="1081"/>
      <c r="F107" s="1082"/>
      <c r="G107" s="166"/>
    </row>
    <row r="108" spans="1:198" s="154" customFormat="1" ht="15.5">
      <c r="A108" s="1132" t="s">
        <v>1173</v>
      </c>
      <c r="B108" s="1122" t="s">
        <v>505</v>
      </c>
      <c r="C108" s="1080" t="s">
        <v>387</v>
      </c>
      <c r="D108" s="1080">
        <f>D102</f>
        <v>3</v>
      </c>
      <c r="E108" s="1081"/>
      <c r="F108" s="1082">
        <f t="shared" si="4"/>
        <v>0</v>
      </c>
      <c r="G108" s="166"/>
    </row>
    <row r="109" spans="1:198" s="154" customFormat="1" ht="15.5">
      <c r="A109" s="1132" t="s">
        <v>1174</v>
      </c>
      <c r="B109" s="1122" t="s">
        <v>506</v>
      </c>
      <c r="C109" s="1080" t="s">
        <v>507</v>
      </c>
      <c r="D109" s="1080">
        <f>CEILING(D102*3/2,1)</f>
        <v>5</v>
      </c>
      <c r="E109" s="1081"/>
      <c r="F109" s="1082">
        <f t="shared" si="4"/>
        <v>0</v>
      </c>
      <c r="G109" s="166"/>
    </row>
    <row r="110" spans="1:198" s="154" customFormat="1" ht="15.5">
      <c r="A110" s="1132" t="s">
        <v>1175</v>
      </c>
      <c r="B110" s="1122" t="s">
        <v>508</v>
      </c>
      <c r="C110" s="1075" t="s">
        <v>387</v>
      </c>
      <c r="D110" s="1075">
        <f>D102</f>
        <v>3</v>
      </c>
      <c r="E110" s="1076"/>
      <c r="F110" s="1082">
        <f t="shared" si="4"/>
        <v>0</v>
      </c>
      <c r="G110" s="166"/>
    </row>
    <row r="111" spans="1:198" s="154" customFormat="1" ht="15.5">
      <c r="A111" s="1132" t="s">
        <v>34</v>
      </c>
      <c r="B111" s="1126" t="s">
        <v>509</v>
      </c>
      <c r="C111" s="1075" t="s">
        <v>34</v>
      </c>
      <c r="D111" s="1075" t="s">
        <v>34</v>
      </c>
      <c r="E111" s="1076"/>
      <c r="F111" s="1082"/>
      <c r="G111" s="166"/>
    </row>
    <row r="112" spans="1:198" s="154" customFormat="1" ht="29.4" customHeight="1">
      <c r="A112" s="1132" t="s">
        <v>1176</v>
      </c>
      <c r="B112" s="1122" t="s">
        <v>510</v>
      </c>
      <c r="C112" s="1074" t="s">
        <v>146</v>
      </c>
      <c r="D112" s="1075" t="s">
        <v>439</v>
      </c>
      <c r="E112" s="1076"/>
      <c r="F112" s="1082">
        <f>E112</f>
        <v>0</v>
      </c>
      <c r="G112" s="166"/>
    </row>
    <row r="113" spans="1:198" s="155" customFormat="1" ht="15.5">
      <c r="A113" s="1133"/>
      <c r="B113" s="1121" t="s">
        <v>1161</v>
      </c>
      <c r="C113" s="1105"/>
      <c r="D113" s="1134"/>
      <c r="E113" s="1106"/>
      <c r="F113" s="1098">
        <f>SUM(F102:F112)</f>
        <v>0</v>
      </c>
      <c r="G113" s="167"/>
    </row>
    <row r="114" spans="1:198" s="155" customFormat="1" ht="15.5">
      <c r="A114" s="1133"/>
      <c r="B114" s="1121"/>
      <c r="C114" s="1105"/>
      <c r="D114" s="1134"/>
      <c r="E114" s="1106"/>
      <c r="F114" s="1098"/>
      <c r="G114" s="167"/>
    </row>
    <row r="115" spans="1:198" s="150" customFormat="1" ht="15.5">
      <c r="A115" s="1111">
        <v>2.6</v>
      </c>
      <c r="B115" s="1116" t="s">
        <v>1177</v>
      </c>
      <c r="C115" s="1080"/>
      <c r="D115" s="1080"/>
      <c r="E115" s="1081"/>
      <c r="F115" s="1082"/>
      <c r="G115" s="165"/>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3"/>
      <c r="BM115" s="153"/>
      <c r="BN115" s="153"/>
      <c r="BO115" s="153"/>
      <c r="BP115" s="153"/>
      <c r="BQ115" s="153"/>
      <c r="BR115" s="153"/>
      <c r="BS115" s="153"/>
      <c r="BT115" s="153"/>
      <c r="BU115" s="153"/>
      <c r="BV115" s="153"/>
      <c r="BW115" s="153"/>
      <c r="BX115" s="153"/>
      <c r="BY115" s="153"/>
      <c r="BZ115" s="153"/>
      <c r="CA115" s="153"/>
      <c r="CB115" s="153"/>
      <c r="CC115" s="153"/>
      <c r="CD115" s="153"/>
      <c r="CE115" s="153"/>
      <c r="CF115" s="153"/>
      <c r="CG115" s="153"/>
      <c r="CH115" s="153"/>
      <c r="CI115" s="153"/>
      <c r="CJ115" s="153"/>
      <c r="CK115" s="153"/>
      <c r="CL115" s="153"/>
      <c r="CM115" s="153"/>
      <c r="CN115" s="153"/>
      <c r="CO115" s="153"/>
      <c r="CP115" s="153"/>
      <c r="CQ115" s="153"/>
      <c r="CR115" s="153"/>
      <c r="CS115" s="153"/>
      <c r="CT115" s="153"/>
      <c r="CU115" s="153"/>
      <c r="CV115" s="153"/>
      <c r="CW115" s="153"/>
      <c r="CX115" s="153"/>
      <c r="CY115" s="153"/>
      <c r="CZ115" s="153"/>
      <c r="DA115" s="153"/>
      <c r="DB115" s="153"/>
      <c r="DC115" s="153"/>
      <c r="DD115" s="153"/>
      <c r="DE115" s="153"/>
      <c r="DF115" s="153"/>
      <c r="DG115" s="153"/>
      <c r="DH115" s="153"/>
      <c r="DI115" s="153"/>
      <c r="DJ115" s="153"/>
      <c r="DK115" s="153"/>
      <c r="DL115" s="153"/>
      <c r="DM115" s="153"/>
      <c r="DN115" s="153"/>
      <c r="DO115" s="153"/>
      <c r="DP115" s="153"/>
      <c r="DQ115" s="153"/>
      <c r="DR115" s="153"/>
      <c r="DS115" s="153"/>
      <c r="DT115" s="153"/>
      <c r="DU115" s="153"/>
      <c r="DV115" s="153"/>
      <c r="DW115" s="153"/>
      <c r="DX115" s="153"/>
      <c r="DY115" s="153"/>
      <c r="DZ115" s="153"/>
      <c r="EA115" s="153"/>
      <c r="EB115" s="153"/>
      <c r="EC115" s="153"/>
      <c r="ED115" s="153"/>
      <c r="EE115" s="153"/>
      <c r="EF115" s="153"/>
      <c r="EG115" s="153"/>
      <c r="EH115" s="153"/>
      <c r="EI115" s="153"/>
      <c r="EJ115" s="153"/>
      <c r="EK115" s="153"/>
      <c r="EL115" s="153"/>
      <c r="EM115" s="153"/>
      <c r="EN115" s="153"/>
      <c r="EO115" s="153"/>
      <c r="EP115" s="153"/>
      <c r="EQ115" s="153"/>
      <c r="ER115" s="153"/>
      <c r="ES115" s="153"/>
      <c r="ET115" s="153"/>
      <c r="EU115" s="153"/>
      <c r="EV115" s="153"/>
      <c r="EW115" s="153"/>
      <c r="EX115" s="153"/>
      <c r="EY115" s="153"/>
      <c r="EZ115" s="153"/>
      <c r="FA115" s="153"/>
      <c r="FB115" s="153"/>
      <c r="FC115" s="153"/>
      <c r="FD115" s="153"/>
      <c r="FE115" s="153"/>
      <c r="FF115" s="153"/>
      <c r="FG115" s="153"/>
      <c r="FH115" s="153"/>
      <c r="FI115" s="153"/>
      <c r="FJ115" s="153"/>
      <c r="FK115" s="153"/>
      <c r="FL115" s="153"/>
      <c r="FM115" s="153"/>
      <c r="FN115" s="153"/>
      <c r="FO115" s="153"/>
      <c r="FP115" s="153"/>
      <c r="FQ115" s="153"/>
      <c r="FR115" s="153"/>
      <c r="FS115" s="153"/>
      <c r="FT115" s="153"/>
      <c r="FU115" s="153"/>
      <c r="FV115" s="153"/>
      <c r="FW115" s="153"/>
      <c r="FX115" s="153"/>
      <c r="FY115" s="153"/>
      <c r="FZ115" s="153"/>
      <c r="GA115" s="153"/>
      <c r="GB115" s="153"/>
      <c r="GC115" s="153"/>
      <c r="GD115" s="153"/>
      <c r="GE115" s="153"/>
      <c r="GF115" s="153"/>
      <c r="GG115" s="153"/>
      <c r="GH115" s="153"/>
      <c r="GI115" s="153"/>
      <c r="GJ115" s="153"/>
      <c r="GK115" s="153"/>
      <c r="GL115" s="153"/>
      <c r="GM115" s="153"/>
      <c r="GN115" s="153"/>
      <c r="GO115" s="153"/>
      <c r="GP115" s="153"/>
    </row>
    <row r="116" spans="1:198" s="152" customFormat="1" ht="33.65" customHeight="1">
      <c r="A116" s="1124" t="s">
        <v>570</v>
      </c>
      <c r="B116" s="1125" t="s">
        <v>511</v>
      </c>
      <c r="C116" s="1080" t="s">
        <v>12</v>
      </c>
      <c r="D116" s="1080">
        <v>8</v>
      </c>
      <c r="E116" s="1081"/>
      <c r="F116" s="1082">
        <f t="shared" si="4"/>
        <v>0</v>
      </c>
      <c r="G116" s="164"/>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c r="BI116" s="151"/>
      <c r="BJ116" s="151"/>
      <c r="BK116" s="151"/>
      <c r="BL116" s="151"/>
      <c r="BM116" s="151"/>
      <c r="BN116" s="151"/>
      <c r="BO116" s="151"/>
      <c r="BP116" s="151"/>
      <c r="BQ116" s="151"/>
      <c r="BR116" s="151"/>
      <c r="BS116" s="151"/>
      <c r="BT116" s="151"/>
      <c r="BU116" s="151"/>
      <c r="BV116" s="151"/>
      <c r="BW116" s="151"/>
      <c r="BX116" s="151"/>
      <c r="BY116" s="151"/>
      <c r="BZ116" s="151"/>
      <c r="CA116" s="151"/>
      <c r="CB116" s="151"/>
      <c r="CC116" s="151"/>
      <c r="CD116" s="151"/>
      <c r="CE116" s="151"/>
      <c r="CF116" s="151"/>
      <c r="CG116" s="151"/>
      <c r="CH116" s="151"/>
      <c r="CI116" s="151"/>
      <c r="CJ116" s="151"/>
      <c r="CK116" s="151"/>
      <c r="CL116" s="151"/>
      <c r="CM116" s="151"/>
      <c r="CN116" s="151"/>
      <c r="CO116" s="151"/>
      <c r="CP116" s="151"/>
      <c r="CQ116" s="151"/>
      <c r="CR116" s="151"/>
      <c r="CS116" s="151"/>
      <c r="CT116" s="151"/>
      <c r="CU116" s="151"/>
      <c r="CV116" s="151"/>
      <c r="CW116" s="151"/>
      <c r="CX116" s="151"/>
      <c r="CY116" s="151"/>
      <c r="CZ116" s="151"/>
      <c r="DA116" s="151"/>
      <c r="DB116" s="151"/>
      <c r="DC116" s="151"/>
      <c r="DD116" s="151"/>
      <c r="DE116" s="151"/>
      <c r="DF116" s="151"/>
      <c r="DG116" s="151"/>
      <c r="DH116" s="151"/>
      <c r="DI116" s="151"/>
      <c r="DJ116" s="151"/>
      <c r="DK116" s="151"/>
      <c r="DL116" s="151"/>
      <c r="DM116" s="151"/>
      <c r="DN116" s="151"/>
      <c r="DO116" s="151"/>
      <c r="DP116" s="151"/>
      <c r="DQ116" s="151"/>
      <c r="DR116" s="151"/>
      <c r="DS116" s="151"/>
      <c r="DT116" s="151"/>
      <c r="DU116" s="151"/>
      <c r="DV116" s="151"/>
      <c r="DW116" s="151"/>
      <c r="DX116" s="151"/>
      <c r="DY116" s="151"/>
      <c r="DZ116" s="151"/>
      <c r="EA116" s="151"/>
      <c r="EB116" s="151"/>
      <c r="EC116" s="151"/>
      <c r="ED116" s="151"/>
      <c r="EE116" s="151"/>
      <c r="EF116" s="151"/>
      <c r="EG116" s="151"/>
      <c r="EH116" s="151"/>
      <c r="EI116" s="151"/>
      <c r="EJ116" s="151"/>
      <c r="EK116" s="151"/>
      <c r="EL116" s="151"/>
      <c r="EM116" s="151"/>
      <c r="EN116" s="151"/>
      <c r="EO116" s="151"/>
      <c r="EP116" s="151"/>
      <c r="EQ116" s="151"/>
      <c r="ER116" s="151"/>
      <c r="ES116" s="151"/>
      <c r="ET116" s="151"/>
      <c r="EU116" s="151"/>
      <c r="EV116" s="151"/>
      <c r="EW116" s="151"/>
      <c r="EX116" s="151"/>
      <c r="EY116" s="151"/>
      <c r="EZ116" s="151"/>
      <c r="FA116" s="151"/>
      <c r="FB116" s="151"/>
      <c r="FC116" s="151"/>
      <c r="FD116" s="151"/>
      <c r="FE116" s="151"/>
      <c r="FF116" s="151"/>
      <c r="FG116" s="151"/>
      <c r="FH116" s="151"/>
      <c r="FI116" s="151"/>
      <c r="FJ116" s="151"/>
      <c r="FK116" s="151"/>
      <c r="FL116" s="151"/>
      <c r="FM116" s="151"/>
      <c r="FN116" s="151"/>
      <c r="FO116" s="151"/>
      <c r="FP116" s="151"/>
      <c r="FQ116" s="151"/>
      <c r="FR116" s="151"/>
      <c r="FS116" s="151"/>
      <c r="FT116" s="151"/>
      <c r="FU116" s="151"/>
      <c r="FV116" s="151"/>
      <c r="FW116" s="151"/>
      <c r="FX116" s="151"/>
      <c r="FY116" s="151"/>
      <c r="FZ116" s="151"/>
      <c r="GA116" s="151"/>
      <c r="GB116" s="151"/>
      <c r="GC116" s="151"/>
      <c r="GD116" s="151"/>
      <c r="GE116" s="151"/>
      <c r="GF116" s="151"/>
      <c r="GG116" s="151"/>
      <c r="GH116" s="151"/>
      <c r="GI116" s="151"/>
      <c r="GJ116" s="151"/>
      <c r="GK116" s="151"/>
      <c r="GL116" s="151"/>
      <c r="GM116" s="151"/>
      <c r="GN116" s="151"/>
      <c r="GO116" s="151"/>
      <c r="GP116" s="151"/>
    </row>
    <row r="117" spans="1:198" s="150" customFormat="1" ht="15.5">
      <c r="A117" s="1111"/>
      <c r="B117" s="1112" t="s">
        <v>1178</v>
      </c>
      <c r="C117" s="1096"/>
      <c r="D117" s="1096"/>
      <c r="E117" s="1097"/>
      <c r="F117" s="1098">
        <f>SUM(F116)</f>
        <v>0</v>
      </c>
      <c r="G117" s="165"/>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c r="BI117" s="153"/>
      <c r="BJ117" s="153"/>
      <c r="BK117" s="153"/>
      <c r="BL117" s="153"/>
      <c r="BM117" s="153"/>
      <c r="BN117" s="153"/>
      <c r="BO117" s="153"/>
      <c r="BP117" s="153"/>
      <c r="BQ117" s="153"/>
      <c r="BR117" s="153"/>
      <c r="BS117" s="153"/>
      <c r="BT117" s="153"/>
      <c r="BU117" s="153"/>
      <c r="BV117" s="153"/>
      <c r="BW117" s="153"/>
      <c r="BX117" s="153"/>
      <c r="BY117" s="153"/>
      <c r="BZ117" s="153"/>
      <c r="CA117" s="153"/>
      <c r="CB117" s="153"/>
      <c r="CC117" s="153"/>
      <c r="CD117" s="153"/>
      <c r="CE117" s="153"/>
      <c r="CF117" s="153"/>
      <c r="CG117" s="153"/>
      <c r="CH117" s="153"/>
      <c r="CI117" s="153"/>
      <c r="CJ117" s="153"/>
      <c r="CK117" s="153"/>
      <c r="CL117" s="153"/>
      <c r="CM117" s="153"/>
      <c r="CN117" s="153"/>
      <c r="CO117" s="153"/>
      <c r="CP117" s="153"/>
      <c r="CQ117" s="153"/>
      <c r="CR117" s="153"/>
      <c r="CS117" s="153"/>
      <c r="CT117" s="153"/>
      <c r="CU117" s="153"/>
      <c r="CV117" s="153"/>
      <c r="CW117" s="153"/>
      <c r="CX117" s="153"/>
      <c r="CY117" s="153"/>
      <c r="CZ117" s="153"/>
      <c r="DA117" s="153"/>
      <c r="DB117" s="153"/>
      <c r="DC117" s="153"/>
      <c r="DD117" s="153"/>
      <c r="DE117" s="153"/>
      <c r="DF117" s="153"/>
      <c r="DG117" s="153"/>
      <c r="DH117" s="153"/>
      <c r="DI117" s="153"/>
      <c r="DJ117" s="153"/>
      <c r="DK117" s="153"/>
      <c r="DL117" s="153"/>
      <c r="DM117" s="153"/>
      <c r="DN117" s="153"/>
      <c r="DO117" s="153"/>
      <c r="DP117" s="153"/>
      <c r="DQ117" s="153"/>
      <c r="DR117" s="153"/>
      <c r="DS117" s="153"/>
      <c r="DT117" s="153"/>
      <c r="DU117" s="153"/>
      <c r="DV117" s="153"/>
      <c r="DW117" s="153"/>
      <c r="DX117" s="153"/>
      <c r="DY117" s="153"/>
      <c r="DZ117" s="153"/>
      <c r="EA117" s="153"/>
      <c r="EB117" s="153"/>
      <c r="EC117" s="153"/>
      <c r="ED117" s="153"/>
      <c r="EE117" s="153"/>
      <c r="EF117" s="153"/>
      <c r="EG117" s="153"/>
      <c r="EH117" s="153"/>
      <c r="EI117" s="153"/>
      <c r="EJ117" s="153"/>
      <c r="EK117" s="153"/>
      <c r="EL117" s="153"/>
      <c r="EM117" s="153"/>
      <c r="EN117" s="153"/>
      <c r="EO117" s="153"/>
      <c r="EP117" s="153"/>
      <c r="EQ117" s="153"/>
      <c r="ER117" s="153"/>
      <c r="ES117" s="153"/>
      <c r="ET117" s="153"/>
      <c r="EU117" s="153"/>
      <c r="EV117" s="153"/>
      <c r="EW117" s="153"/>
      <c r="EX117" s="153"/>
      <c r="EY117" s="153"/>
      <c r="EZ117" s="153"/>
      <c r="FA117" s="153"/>
      <c r="FB117" s="153"/>
      <c r="FC117" s="153"/>
      <c r="FD117" s="153"/>
      <c r="FE117" s="153"/>
      <c r="FF117" s="153"/>
      <c r="FG117" s="153"/>
      <c r="FH117" s="153"/>
      <c r="FI117" s="153"/>
      <c r="FJ117" s="153"/>
      <c r="FK117" s="153"/>
      <c r="FL117" s="153"/>
      <c r="FM117" s="153"/>
      <c r="FN117" s="153"/>
      <c r="FO117" s="153"/>
      <c r="FP117" s="153"/>
      <c r="FQ117" s="153"/>
      <c r="FR117" s="153"/>
      <c r="FS117" s="153"/>
      <c r="FT117" s="153"/>
      <c r="FU117" s="153"/>
      <c r="FV117" s="153"/>
      <c r="FW117" s="153"/>
      <c r="FX117" s="153"/>
      <c r="FY117" s="153"/>
      <c r="FZ117" s="153"/>
      <c r="GA117" s="153"/>
      <c r="GB117" s="153"/>
      <c r="GC117" s="153"/>
      <c r="GD117" s="153"/>
      <c r="GE117" s="153"/>
      <c r="GF117" s="153"/>
      <c r="GG117" s="153"/>
      <c r="GH117" s="153"/>
      <c r="GI117" s="153"/>
      <c r="GJ117" s="153"/>
      <c r="GK117" s="153"/>
      <c r="GL117" s="153"/>
      <c r="GM117" s="153"/>
      <c r="GN117" s="153"/>
      <c r="GO117" s="153"/>
      <c r="GP117" s="153"/>
    </row>
    <row r="118" spans="1:198" s="150" customFormat="1" ht="3.65" customHeight="1">
      <c r="A118" s="1111"/>
      <c r="B118" s="1112"/>
      <c r="C118" s="1096"/>
      <c r="D118" s="1096"/>
      <c r="E118" s="1097"/>
      <c r="F118" s="1098"/>
      <c r="G118" s="165"/>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3"/>
      <c r="BM118" s="153"/>
      <c r="BN118" s="153"/>
      <c r="BO118" s="153"/>
      <c r="BP118" s="153"/>
      <c r="BQ118" s="153"/>
      <c r="BR118" s="153"/>
      <c r="BS118" s="153"/>
      <c r="BT118" s="153"/>
      <c r="BU118" s="153"/>
      <c r="BV118" s="153"/>
      <c r="BW118" s="153"/>
      <c r="BX118" s="153"/>
      <c r="BY118" s="153"/>
      <c r="BZ118" s="153"/>
      <c r="CA118" s="153"/>
      <c r="CB118" s="153"/>
      <c r="CC118" s="153"/>
      <c r="CD118" s="153"/>
      <c r="CE118" s="153"/>
      <c r="CF118" s="153"/>
      <c r="CG118" s="153"/>
      <c r="CH118" s="153"/>
      <c r="CI118" s="153"/>
      <c r="CJ118" s="153"/>
      <c r="CK118" s="153"/>
      <c r="CL118" s="153"/>
      <c r="CM118" s="153"/>
      <c r="CN118" s="153"/>
      <c r="CO118" s="153"/>
      <c r="CP118" s="153"/>
      <c r="CQ118" s="153"/>
      <c r="CR118" s="153"/>
      <c r="CS118" s="153"/>
      <c r="CT118" s="153"/>
      <c r="CU118" s="153"/>
      <c r="CV118" s="153"/>
      <c r="CW118" s="153"/>
      <c r="CX118" s="153"/>
      <c r="CY118" s="153"/>
      <c r="CZ118" s="153"/>
      <c r="DA118" s="153"/>
      <c r="DB118" s="153"/>
      <c r="DC118" s="153"/>
      <c r="DD118" s="153"/>
      <c r="DE118" s="153"/>
      <c r="DF118" s="153"/>
      <c r="DG118" s="153"/>
      <c r="DH118" s="153"/>
      <c r="DI118" s="153"/>
      <c r="DJ118" s="153"/>
      <c r="DK118" s="153"/>
      <c r="DL118" s="153"/>
      <c r="DM118" s="153"/>
      <c r="DN118" s="153"/>
      <c r="DO118" s="153"/>
      <c r="DP118" s="153"/>
      <c r="DQ118" s="153"/>
      <c r="DR118" s="153"/>
      <c r="DS118" s="153"/>
      <c r="DT118" s="153"/>
      <c r="DU118" s="153"/>
      <c r="DV118" s="153"/>
      <c r="DW118" s="153"/>
      <c r="DX118" s="153"/>
      <c r="DY118" s="153"/>
      <c r="DZ118" s="153"/>
      <c r="EA118" s="153"/>
      <c r="EB118" s="153"/>
      <c r="EC118" s="153"/>
      <c r="ED118" s="153"/>
      <c r="EE118" s="153"/>
      <c r="EF118" s="153"/>
      <c r="EG118" s="153"/>
      <c r="EH118" s="153"/>
      <c r="EI118" s="153"/>
      <c r="EJ118" s="153"/>
      <c r="EK118" s="153"/>
      <c r="EL118" s="153"/>
      <c r="EM118" s="153"/>
      <c r="EN118" s="153"/>
      <c r="EO118" s="153"/>
      <c r="EP118" s="153"/>
      <c r="EQ118" s="153"/>
      <c r="ER118" s="153"/>
      <c r="ES118" s="153"/>
      <c r="ET118" s="153"/>
      <c r="EU118" s="153"/>
      <c r="EV118" s="153"/>
      <c r="EW118" s="153"/>
      <c r="EX118" s="153"/>
      <c r="EY118" s="153"/>
      <c r="EZ118" s="153"/>
      <c r="FA118" s="153"/>
      <c r="FB118" s="153"/>
      <c r="FC118" s="153"/>
      <c r="FD118" s="153"/>
      <c r="FE118" s="153"/>
      <c r="FF118" s="153"/>
      <c r="FG118" s="153"/>
      <c r="FH118" s="153"/>
      <c r="FI118" s="153"/>
      <c r="FJ118" s="153"/>
      <c r="FK118" s="153"/>
      <c r="FL118" s="153"/>
      <c r="FM118" s="153"/>
      <c r="FN118" s="153"/>
      <c r="FO118" s="153"/>
      <c r="FP118" s="153"/>
      <c r="FQ118" s="153"/>
      <c r="FR118" s="153"/>
      <c r="FS118" s="153"/>
      <c r="FT118" s="153"/>
      <c r="FU118" s="153"/>
      <c r="FV118" s="153"/>
      <c r="FW118" s="153"/>
      <c r="FX118" s="153"/>
      <c r="FY118" s="153"/>
      <c r="FZ118" s="153"/>
      <c r="GA118" s="153"/>
      <c r="GB118" s="153"/>
      <c r="GC118" s="153"/>
      <c r="GD118" s="153"/>
      <c r="GE118" s="153"/>
      <c r="GF118" s="153"/>
      <c r="GG118" s="153"/>
      <c r="GH118" s="153"/>
      <c r="GI118" s="153"/>
      <c r="GJ118" s="153"/>
      <c r="GK118" s="153"/>
      <c r="GL118" s="153"/>
      <c r="GM118" s="153"/>
      <c r="GN118" s="153"/>
      <c r="GO118" s="153"/>
      <c r="GP118" s="153"/>
    </row>
    <row r="119" spans="1:198" s="150" customFormat="1" ht="3.65" customHeight="1">
      <c r="A119" s="1111"/>
      <c r="B119" s="1112"/>
      <c r="C119" s="1096"/>
      <c r="D119" s="1096"/>
      <c r="E119" s="1097"/>
      <c r="F119" s="1098"/>
      <c r="G119" s="165"/>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153"/>
      <c r="BY119" s="153"/>
      <c r="BZ119" s="153"/>
      <c r="CA119" s="153"/>
      <c r="CB119" s="153"/>
      <c r="CC119" s="153"/>
      <c r="CD119" s="153"/>
      <c r="CE119" s="153"/>
      <c r="CF119" s="153"/>
      <c r="CG119" s="153"/>
      <c r="CH119" s="153"/>
      <c r="CI119" s="153"/>
      <c r="CJ119" s="153"/>
      <c r="CK119" s="153"/>
      <c r="CL119" s="153"/>
      <c r="CM119" s="153"/>
      <c r="CN119" s="153"/>
      <c r="CO119" s="153"/>
      <c r="CP119" s="153"/>
      <c r="CQ119" s="153"/>
      <c r="CR119" s="153"/>
      <c r="CS119" s="153"/>
      <c r="CT119" s="153"/>
      <c r="CU119" s="153"/>
      <c r="CV119" s="153"/>
      <c r="CW119" s="153"/>
      <c r="CX119" s="153"/>
      <c r="CY119" s="153"/>
      <c r="CZ119" s="153"/>
      <c r="DA119" s="153"/>
      <c r="DB119" s="153"/>
      <c r="DC119" s="153"/>
      <c r="DD119" s="153"/>
      <c r="DE119" s="153"/>
      <c r="DF119" s="153"/>
      <c r="DG119" s="153"/>
      <c r="DH119" s="153"/>
      <c r="DI119" s="153"/>
      <c r="DJ119" s="153"/>
      <c r="DK119" s="153"/>
      <c r="DL119" s="153"/>
      <c r="DM119" s="153"/>
      <c r="DN119" s="153"/>
      <c r="DO119" s="153"/>
      <c r="DP119" s="153"/>
      <c r="DQ119" s="153"/>
      <c r="DR119" s="153"/>
      <c r="DS119" s="153"/>
      <c r="DT119" s="153"/>
      <c r="DU119" s="153"/>
      <c r="DV119" s="153"/>
      <c r="DW119" s="153"/>
      <c r="DX119" s="153"/>
      <c r="DY119" s="153"/>
      <c r="DZ119" s="153"/>
      <c r="EA119" s="153"/>
      <c r="EB119" s="153"/>
      <c r="EC119" s="153"/>
      <c r="ED119" s="153"/>
      <c r="EE119" s="153"/>
      <c r="EF119" s="153"/>
      <c r="EG119" s="153"/>
      <c r="EH119" s="153"/>
      <c r="EI119" s="153"/>
      <c r="EJ119" s="153"/>
      <c r="EK119" s="153"/>
      <c r="EL119" s="153"/>
      <c r="EM119" s="153"/>
      <c r="EN119" s="153"/>
      <c r="EO119" s="153"/>
      <c r="EP119" s="153"/>
      <c r="EQ119" s="153"/>
      <c r="ER119" s="153"/>
      <c r="ES119" s="153"/>
      <c r="ET119" s="153"/>
      <c r="EU119" s="153"/>
      <c r="EV119" s="153"/>
      <c r="EW119" s="153"/>
      <c r="EX119" s="153"/>
      <c r="EY119" s="153"/>
      <c r="EZ119" s="153"/>
      <c r="FA119" s="153"/>
      <c r="FB119" s="153"/>
      <c r="FC119" s="153"/>
      <c r="FD119" s="153"/>
      <c r="FE119" s="153"/>
      <c r="FF119" s="153"/>
      <c r="FG119" s="153"/>
      <c r="FH119" s="153"/>
      <c r="FI119" s="153"/>
      <c r="FJ119" s="153"/>
      <c r="FK119" s="153"/>
      <c r="FL119" s="153"/>
      <c r="FM119" s="153"/>
      <c r="FN119" s="153"/>
      <c r="FO119" s="153"/>
      <c r="FP119" s="153"/>
      <c r="FQ119" s="153"/>
      <c r="FR119" s="153"/>
      <c r="FS119" s="153"/>
      <c r="FT119" s="153"/>
      <c r="FU119" s="153"/>
      <c r="FV119" s="153"/>
      <c r="FW119" s="153"/>
      <c r="FX119" s="153"/>
      <c r="FY119" s="153"/>
      <c r="FZ119" s="153"/>
      <c r="GA119" s="153"/>
      <c r="GB119" s="153"/>
      <c r="GC119" s="153"/>
      <c r="GD119" s="153"/>
      <c r="GE119" s="153"/>
      <c r="GF119" s="153"/>
      <c r="GG119" s="153"/>
      <c r="GH119" s="153"/>
      <c r="GI119" s="153"/>
      <c r="GJ119" s="153"/>
      <c r="GK119" s="153"/>
      <c r="GL119" s="153"/>
      <c r="GM119" s="153"/>
      <c r="GN119" s="153"/>
      <c r="GO119" s="153"/>
      <c r="GP119" s="153"/>
    </row>
    <row r="120" spans="1:198" s="644" customFormat="1">
      <c r="A120" s="1108">
        <v>2.7</v>
      </c>
      <c r="B120" s="1073" t="s">
        <v>1077</v>
      </c>
      <c r="C120" s="1074"/>
      <c r="D120" s="1076"/>
      <c r="E120" s="1074"/>
      <c r="F120" s="1093"/>
    </row>
    <row r="121" spans="1:198" s="644" customFormat="1">
      <c r="A121" s="1091"/>
      <c r="B121" s="1092" t="s">
        <v>55</v>
      </c>
      <c r="C121" s="1074"/>
      <c r="D121" s="1076"/>
      <c r="E121" s="1074"/>
      <c r="F121" s="1093"/>
    </row>
    <row r="122" spans="1:198" s="644" customFormat="1">
      <c r="A122" s="1091"/>
      <c r="B122" s="1092" t="s">
        <v>56</v>
      </c>
      <c r="C122" s="1074"/>
      <c r="D122" s="1076"/>
      <c r="E122" s="1074"/>
      <c r="F122" s="1093"/>
    </row>
    <row r="123" spans="1:198" s="644" customFormat="1">
      <c r="A123" s="1091" t="s">
        <v>571</v>
      </c>
      <c r="B123" s="1086" t="s">
        <v>949</v>
      </c>
      <c r="C123" s="1074" t="s">
        <v>33</v>
      </c>
      <c r="D123" s="1076">
        <f>D66</f>
        <v>150</v>
      </c>
      <c r="E123" s="1074"/>
      <c r="F123" s="1093">
        <f>E123*D123</f>
        <v>0</v>
      </c>
    </row>
    <row r="124" spans="1:198" s="644" customFormat="1">
      <c r="A124" s="1091"/>
      <c r="B124" s="1092" t="s">
        <v>1041</v>
      </c>
      <c r="C124" s="1074"/>
      <c r="D124" s="1076"/>
      <c r="E124" s="1074"/>
      <c r="F124" s="1093"/>
    </row>
    <row r="125" spans="1:198" s="644" customFormat="1">
      <c r="A125" s="1091" t="s">
        <v>572</v>
      </c>
      <c r="B125" s="1086" t="s">
        <v>1042</v>
      </c>
      <c r="C125" s="1074" t="s">
        <v>33</v>
      </c>
      <c r="D125" s="1076">
        <v>275</v>
      </c>
      <c r="E125" s="1074"/>
      <c r="F125" s="1093">
        <f>E125*D125</f>
        <v>0</v>
      </c>
    </row>
    <row r="126" spans="1:198" s="644" customFormat="1">
      <c r="A126" s="1091"/>
      <c r="B126" s="1086" t="s">
        <v>1263</v>
      </c>
      <c r="C126" s="1074" t="s">
        <v>441</v>
      </c>
      <c r="D126" s="1076">
        <f>D57</f>
        <v>125</v>
      </c>
      <c r="E126" s="1074"/>
      <c r="F126" s="1093">
        <f>E126*D126</f>
        <v>0</v>
      </c>
    </row>
    <row r="127" spans="1:198" s="644" customFormat="1">
      <c r="A127" s="1091"/>
      <c r="B127" s="1073" t="s">
        <v>18</v>
      </c>
      <c r="C127" s="1074"/>
      <c r="D127" s="1076"/>
      <c r="E127" s="1074"/>
      <c r="F127" s="1093"/>
    </row>
    <row r="128" spans="1:198" s="644" customFormat="1">
      <c r="A128" s="1091"/>
      <c r="B128" s="1092" t="s">
        <v>486</v>
      </c>
      <c r="C128" s="1074"/>
      <c r="D128" s="1076"/>
      <c r="E128" s="1074"/>
      <c r="F128" s="1093"/>
    </row>
    <row r="129" spans="1:7" s="644" customFormat="1">
      <c r="A129" s="1091" t="s">
        <v>573</v>
      </c>
      <c r="B129" s="1086" t="s">
        <v>1078</v>
      </c>
      <c r="C129" s="1074" t="s">
        <v>33</v>
      </c>
      <c r="D129" s="1076">
        <f>D15</f>
        <v>125</v>
      </c>
      <c r="E129" s="1074"/>
      <c r="F129" s="1093">
        <f>E129*D129</f>
        <v>0</v>
      </c>
    </row>
    <row r="130" spans="1:7" s="644" customFormat="1">
      <c r="A130" s="1091" t="s">
        <v>574</v>
      </c>
      <c r="B130" s="1086" t="s">
        <v>1079</v>
      </c>
      <c r="C130" s="1074" t="s">
        <v>50</v>
      </c>
      <c r="D130" s="1076">
        <v>150</v>
      </c>
      <c r="E130" s="1074"/>
      <c r="F130" s="1093">
        <f t="shared" ref="F130" si="5">D130*E130</f>
        <v>0</v>
      </c>
    </row>
    <row r="131" spans="1:7" s="166" customFormat="1" ht="15.5">
      <c r="A131" s="1135" t="s">
        <v>1080</v>
      </c>
      <c r="B131" s="1136" t="s">
        <v>523</v>
      </c>
      <c r="C131" s="1075" t="s">
        <v>33</v>
      </c>
      <c r="D131" s="1075">
        <v>21</v>
      </c>
      <c r="E131" s="1076"/>
      <c r="F131" s="1082">
        <f t="shared" ref="F131" si="6">E131*D131</f>
        <v>0</v>
      </c>
    </row>
    <row r="132" spans="1:7" s="644" customFormat="1">
      <c r="A132" s="1091"/>
      <c r="B132" s="1073" t="s">
        <v>392</v>
      </c>
      <c r="C132" s="1074"/>
      <c r="D132" s="1076"/>
      <c r="E132" s="1074"/>
      <c r="F132" s="1093"/>
    </row>
    <row r="133" spans="1:7" s="644" customFormat="1">
      <c r="A133" s="1091"/>
      <c r="B133" s="1073" t="s">
        <v>1043</v>
      </c>
      <c r="C133" s="1074"/>
      <c r="D133" s="1076"/>
      <c r="E133" s="1074"/>
      <c r="F133" s="1093"/>
    </row>
    <row r="134" spans="1:7" s="644" customFormat="1">
      <c r="A134" s="1091"/>
      <c r="B134" s="1073" t="s">
        <v>1044</v>
      </c>
      <c r="C134" s="1074"/>
      <c r="D134" s="1076"/>
      <c r="E134" s="1074"/>
      <c r="F134" s="1093"/>
    </row>
    <row r="135" spans="1:7" s="644" customFormat="1">
      <c r="A135" s="1091" t="s">
        <v>1081</v>
      </c>
      <c r="B135" s="1086" t="s">
        <v>1045</v>
      </c>
      <c r="C135" s="1074" t="s">
        <v>33</v>
      </c>
      <c r="D135" s="1076">
        <f>D123</f>
        <v>150</v>
      </c>
      <c r="E135" s="1074"/>
      <c r="F135" s="1093">
        <f>E135*D135</f>
        <v>0</v>
      </c>
    </row>
    <row r="136" spans="1:7" s="644" customFormat="1">
      <c r="A136" s="1091"/>
      <c r="B136" s="1073" t="s">
        <v>1046</v>
      </c>
      <c r="C136" s="1074"/>
      <c r="D136" s="1076"/>
      <c r="E136" s="1074"/>
      <c r="F136" s="1093"/>
    </row>
    <row r="137" spans="1:7" s="644" customFormat="1">
      <c r="A137" s="1091"/>
      <c r="B137" s="1073" t="s">
        <v>1047</v>
      </c>
      <c r="C137" s="1074"/>
      <c r="D137" s="1076"/>
      <c r="E137" s="1074"/>
      <c r="F137" s="1093"/>
    </row>
    <row r="138" spans="1:7" s="644" customFormat="1">
      <c r="A138" s="1091" t="s">
        <v>1082</v>
      </c>
      <c r="B138" s="1086" t="s">
        <v>1048</v>
      </c>
      <c r="C138" s="1074" t="s">
        <v>33</v>
      </c>
      <c r="D138" s="1076">
        <f>D125+D126</f>
        <v>400</v>
      </c>
      <c r="E138" s="1074"/>
      <c r="F138" s="1093">
        <f>E138*D138</f>
        <v>0</v>
      </c>
    </row>
    <row r="139" spans="1:7" s="155" customFormat="1" ht="15.5">
      <c r="A139" s="1137"/>
      <c r="B139" s="1138" t="s">
        <v>1179</v>
      </c>
      <c r="C139" s="1139"/>
      <c r="D139" s="1137"/>
      <c r="E139" s="1137"/>
      <c r="F139" s="1140">
        <f>SUM(F122:F138)</f>
        <v>0</v>
      </c>
      <c r="G139" s="167"/>
    </row>
    <row r="140" spans="1:7" s="156" customFormat="1" ht="15.5">
      <c r="A140" s="1141"/>
      <c r="B140" s="1142"/>
      <c r="C140" s="1143"/>
      <c r="D140" s="1144"/>
      <c r="E140" s="1145"/>
      <c r="F140" s="1146">
        <f t="shared" ref="F140:F157" si="7">E140*D140</f>
        <v>0</v>
      </c>
      <c r="G140" s="168"/>
    </row>
    <row r="141" spans="1:7" s="185" customFormat="1" ht="15.5">
      <c r="A141" s="1147">
        <v>2.8</v>
      </c>
      <c r="B141" s="1148" t="s">
        <v>1180</v>
      </c>
      <c r="C141" s="1149"/>
      <c r="D141" s="1150"/>
      <c r="E141" s="1149"/>
      <c r="F141" s="1151">
        <f t="shared" si="7"/>
        <v>0</v>
      </c>
      <c r="G141" s="170"/>
    </row>
    <row r="142" spans="1:7" s="157" customFormat="1" ht="29.4" customHeight="1">
      <c r="A142" s="1023"/>
      <c r="B142" s="1152" t="s">
        <v>479</v>
      </c>
      <c r="C142" s="1025"/>
      <c r="D142" s="1153"/>
      <c r="E142" s="1154"/>
      <c r="F142" s="1146">
        <f t="shared" si="7"/>
        <v>0</v>
      </c>
      <c r="G142" s="169"/>
    </row>
    <row r="143" spans="1:7" s="157" customFormat="1" ht="20.399999999999999" customHeight="1">
      <c r="A143" s="1023" t="s">
        <v>457</v>
      </c>
      <c r="B143" s="1155" t="s">
        <v>513</v>
      </c>
      <c r="C143" s="1025" t="s">
        <v>5</v>
      </c>
      <c r="D143" s="1075">
        <v>6</v>
      </c>
      <c r="E143" s="1081"/>
      <c r="F143" s="1082">
        <f t="shared" si="7"/>
        <v>0</v>
      </c>
      <c r="G143" s="169"/>
    </row>
    <row r="144" spans="1:7" s="157" customFormat="1" ht="15.5">
      <c r="A144" s="1023"/>
      <c r="B144" s="1156" t="s">
        <v>198</v>
      </c>
      <c r="C144" s="1025"/>
      <c r="D144" s="1075"/>
      <c r="E144" s="1081"/>
      <c r="F144" s="1082">
        <f t="shared" si="7"/>
        <v>0</v>
      </c>
      <c r="G144" s="169"/>
    </row>
    <row r="145" spans="1:7" s="157" customFormat="1" ht="20.399999999999999" customHeight="1">
      <c r="A145" s="1023" t="s">
        <v>1181</v>
      </c>
      <c r="B145" s="1155" t="s">
        <v>269</v>
      </c>
      <c r="C145" s="1025" t="s">
        <v>12</v>
      </c>
      <c r="D145" s="1075">
        <v>3</v>
      </c>
      <c r="E145" s="1081"/>
      <c r="F145" s="1082">
        <f t="shared" si="7"/>
        <v>0</v>
      </c>
      <c r="G145" s="169"/>
    </row>
    <row r="146" spans="1:7" s="157" customFormat="1" ht="15.5">
      <c r="A146" s="1023"/>
      <c r="B146" s="1148" t="s">
        <v>199</v>
      </c>
      <c r="C146" s="1154"/>
      <c r="D146" s="1075"/>
      <c r="E146" s="1081"/>
      <c r="F146" s="1082">
        <f t="shared" si="7"/>
        <v>0</v>
      </c>
      <c r="G146" s="169"/>
    </row>
    <row r="147" spans="1:7" s="157" customFormat="1" ht="29.4" customHeight="1">
      <c r="A147" s="1023"/>
      <c r="B147" s="1157" t="s">
        <v>480</v>
      </c>
      <c r="C147" s="1025"/>
      <c r="D147" s="1075"/>
      <c r="E147" s="1081"/>
      <c r="F147" s="1082">
        <f t="shared" si="7"/>
        <v>0</v>
      </c>
      <c r="G147" s="169"/>
    </row>
    <row r="148" spans="1:7" s="157" customFormat="1" ht="15.5">
      <c r="A148" s="1023"/>
      <c r="B148" s="1024" t="s">
        <v>206</v>
      </c>
      <c r="C148" s="1025"/>
      <c r="D148" s="1075"/>
      <c r="E148" s="1081"/>
      <c r="F148" s="1082">
        <f t="shared" si="7"/>
        <v>0</v>
      </c>
      <c r="G148" s="169"/>
    </row>
    <row r="149" spans="1:7" s="157" customFormat="1" ht="15.5">
      <c r="A149" s="1023" t="s">
        <v>1182</v>
      </c>
      <c r="B149" s="1024" t="s">
        <v>207</v>
      </c>
      <c r="C149" s="1025" t="s">
        <v>12</v>
      </c>
      <c r="D149" s="1075">
        <v>4</v>
      </c>
      <c r="E149" s="1081"/>
      <c r="F149" s="1082">
        <f t="shared" si="7"/>
        <v>0</v>
      </c>
      <c r="G149" s="169"/>
    </row>
    <row r="150" spans="1:7" s="157" customFormat="1" ht="15.5">
      <c r="A150" s="1023"/>
      <c r="B150" s="1156" t="s">
        <v>514</v>
      </c>
      <c r="C150" s="1154"/>
      <c r="D150" s="1075"/>
      <c r="E150" s="1081"/>
      <c r="F150" s="1082">
        <f t="shared" si="7"/>
        <v>0</v>
      </c>
      <c r="G150" s="169"/>
    </row>
    <row r="151" spans="1:7" s="157" customFormat="1" ht="81.650000000000006" customHeight="1">
      <c r="A151" s="1023"/>
      <c r="B151" s="1155" t="s">
        <v>515</v>
      </c>
      <c r="C151" s="1025"/>
      <c r="D151" s="1075"/>
      <c r="E151" s="1081"/>
      <c r="F151" s="1082">
        <f t="shared" si="7"/>
        <v>0</v>
      </c>
      <c r="G151" s="169"/>
    </row>
    <row r="152" spans="1:7" s="157" customFormat="1" ht="15.5">
      <c r="A152" s="1023" t="s">
        <v>1188</v>
      </c>
      <c r="B152" s="1024" t="s">
        <v>516</v>
      </c>
      <c r="C152" s="1025" t="s">
        <v>4</v>
      </c>
      <c r="D152" s="1075">
        <v>75</v>
      </c>
      <c r="E152" s="1081"/>
      <c r="F152" s="1082">
        <f t="shared" si="7"/>
        <v>0</v>
      </c>
      <c r="G152" s="169"/>
    </row>
    <row r="153" spans="1:7" s="185" customFormat="1" ht="15.5">
      <c r="A153" s="1147"/>
      <c r="B153" s="1152" t="s">
        <v>1183</v>
      </c>
      <c r="C153" s="1158"/>
      <c r="D153" s="1134"/>
      <c r="E153" s="1097"/>
      <c r="F153" s="1098">
        <f>SUM(F142:F152)</f>
        <v>0</v>
      </c>
      <c r="G153" s="170"/>
    </row>
    <row r="154" spans="1:7" s="157" customFormat="1" ht="15.5">
      <c r="A154" s="1023"/>
      <c r="B154" s="1024"/>
      <c r="C154" s="1025"/>
      <c r="D154" s="1075"/>
      <c r="E154" s="1081"/>
      <c r="F154" s="1082"/>
      <c r="G154" s="169"/>
    </row>
    <row r="155" spans="1:7" s="185" customFormat="1" ht="15.5">
      <c r="A155" s="1159">
        <v>2.9</v>
      </c>
      <c r="B155" s="1148" t="s">
        <v>1187</v>
      </c>
      <c r="C155" s="1158"/>
      <c r="D155" s="1075"/>
      <c r="E155" s="1081"/>
      <c r="F155" s="1082"/>
      <c r="G155" s="170"/>
    </row>
    <row r="156" spans="1:7" s="157" customFormat="1" ht="46.5">
      <c r="A156" s="1160"/>
      <c r="B156" s="1142" t="s">
        <v>517</v>
      </c>
      <c r="C156" s="1161"/>
      <c r="D156" s="1075"/>
      <c r="E156" s="1081"/>
      <c r="F156" s="1082">
        <f t="shared" si="7"/>
        <v>0</v>
      </c>
      <c r="G156" s="169"/>
    </row>
    <row r="157" spans="1:7" s="157" customFormat="1" ht="15.5">
      <c r="A157" s="1160" t="s">
        <v>575</v>
      </c>
      <c r="B157" s="1162" t="s">
        <v>518</v>
      </c>
      <c r="C157" s="1161" t="s">
        <v>519</v>
      </c>
      <c r="D157" s="1075">
        <v>6</v>
      </c>
      <c r="E157" s="1081"/>
      <c r="F157" s="1082">
        <f t="shared" si="7"/>
        <v>0</v>
      </c>
      <c r="G157" s="169"/>
    </row>
    <row r="158" spans="1:7" s="185" customFormat="1" ht="15.5">
      <c r="A158" s="1141"/>
      <c r="B158" s="1163" t="s">
        <v>1185</v>
      </c>
      <c r="C158" s="1164"/>
      <c r="D158" s="1134"/>
      <c r="E158" s="1097"/>
      <c r="F158" s="1098">
        <f>F157</f>
        <v>0</v>
      </c>
      <c r="G158" s="170"/>
    </row>
    <row r="159" spans="1:7" s="157" customFormat="1" ht="15.5">
      <c r="A159" s="1160"/>
      <c r="B159" s="1162"/>
      <c r="C159" s="1161"/>
      <c r="D159" s="1075"/>
      <c r="E159" s="1081"/>
      <c r="F159" s="1082"/>
      <c r="G159" s="169"/>
    </row>
    <row r="160" spans="1:7" s="158" customFormat="1" ht="15.5">
      <c r="A160" s="1141" t="s">
        <v>1190</v>
      </c>
      <c r="B160" s="1165" t="s">
        <v>1189</v>
      </c>
      <c r="C160" s="1164"/>
      <c r="D160" s="1075"/>
      <c r="E160" s="1081"/>
      <c r="F160" s="1082"/>
      <c r="G160" s="170"/>
    </row>
    <row r="161" spans="1:7" s="148" customFormat="1" ht="46.5">
      <c r="A161" s="1160" t="s">
        <v>1184</v>
      </c>
      <c r="B161" s="1162" t="s">
        <v>524</v>
      </c>
      <c r="C161" s="1161" t="s">
        <v>146</v>
      </c>
      <c r="D161" s="1075" t="s">
        <v>439</v>
      </c>
      <c r="E161" s="1081"/>
      <c r="F161" s="1082"/>
      <c r="G161" s="169"/>
    </row>
    <row r="162" spans="1:7" s="158" customFormat="1" ht="15.5">
      <c r="A162" s="1141"/>
      <c r="B162" s="1095" t="s">
        <v>1186</v>
      </c>
      <c r="C162" s="1166"/>
      <c r="D162" s="1097"/>
      <c r="E162" s="1167"/>
      <c r="F162" s="1168">
        <f>F161</f>
        <v>0</v>
      </c>
      <c r="G162" s="170"/>
    </row>
    <row r="163" spans="1:7" s="158" customFormat="1" ht="15.5">
      <c r="A163" s="1141"/>
      <c r="B163" s="1095"/>
      <c r="C163" s="1166"/>
      <c r="D163" s="1097"/>
      <c r="E163" s="1167"/>
      <c r="F163" s="1169"/>
      <c r="G163" s="170"/>
    </row>
    <row r="164" spans="1:7" s="158" customFormat="1" ht="15.5">
      <c r="A164" s="1141"/>
      <c r="B164" s="1095"/>
      <c r="C164" s="1166"/>
      <c r="D164" s="1097"/>
      <c r="E164" s="1167"/>
      <c r="F164" s="1169"/>
      <c r="G164" s="170"/>
    </row>
    <row r="165" spans="1:7" s="158" customFormat="1" ht="15.5">
      <c r="A165" s="1141"/>
      <c r="B165" s="1095"/>
      <c r="C165" s="1166"/>
      <c r="D165" s="1097"/>
      <c r="E165" s="1167"/>
      <c r="F165" s="1169"/>
      <c r="G165" s="170"/>
    </row>
    <row r="166" spans="1:7" s="158" customFormat="1" ht="15.5">
      <c r="A166" s="1141"/>
      <c r="B166" s="1095"/>
      <c r="C166" s="1166"/>
      <c r="D166" s="1097"/>
      <c r="E166" s="1167"/>
      <c r="F166" s="1169"/>
      <c r="G166" s="170"/>
    </row>
    <row r="167" spans="1:7" s="158" customFormat="1" ht="15.5">
      <c r="A167" s="1141"/>
      <c r="B167" s="1095"/>
      <c r="C167" s="1166"/>
      <c r="D167" s="1097"/>
      <c r="E167" s="1167"/>
      <c r="F167" s="1169"/>
      <c r="G167" s="170"/>
    </row>
    <row r="168" spans="1:7" s="158" customFormat="1" ht="15.5">
      <c r="A168" s="1141"/>
      <c r="B168" s="1095"/>
      <c r="C168" s="1166"/>
      <c r="D168" s="1097"/>
      <c r="E168" s="1167"/>
      <c r="F168" s="1169"/>
      <c r="G168" s="170"/>
    </row>
    <row r="169" spans="1:7" s="158" customFormat="1" ht="15.5">
      <c r="A169" s="1141"/>
      <c r="B169" s="1095"/>
      <c r="C169" s="1166"/>
      <c r="D169" s="1097"/>
      <c r="E169" s="1167"/>
      <c r="F169" s="1169"/>
      <c r="G169" s="170"/>
    </row>
    <row r="170" spans="1:7" s="158" customFormat="1" ht="15.5">
      <c r="A170" s="1141"/>
      <c r="B170" s="1095"/>
      <c r="C170" s="1166"/>
      <c r="D170" s="1097"/>
      <c r="E170" s="1167"/>
      <c r="F170" s="1169"/>
      <c r="G170" s="170"/>
    </row>
    <row r="171" spans="1:7" s="158" customFormat="1" ht="15.5">
      <c r="A171" s="1141"/>
      <c r="B171" s="1095"/>
      <c r="C171" s="1166"/>
      <c r="D171" s="1097"/>
      <c r="E171" s="1167"/>
      <c r="F171" s="1169"/>
      <c r="G171" s="170"/>
    </row>
    <row r="172" spans="1:7" s="148" customFormat="1" ht="15.5">
      <c r="A172" s="1160"/>
      <c r="B172" s="1084" t="s">
        <v>1934</v>
      </c>
      <c r="C172" s="1170"/>
      <c r="D172" s="1081"/>
      <c r="E172" s="1079"/>
      <c r="F172" s="1171"/>
      <c r="G172" s="169"/>
    </row>
    <row r="173" spans="1:7" s="148" customFormat="1" ht="15.5">
      <c r="A173" s="1160"/>
      <c r="B173" s="1084"/>
      <c r="C173" s="1170"/>
      <c r="D173" s="1081"/>
      <c r="E173" s="1079"/>
      <c r="F173" s="1171"/>
      <c r="G173" s="169"/>
    </row>
    <row r="174" spans="1:7" s="148" customFormat="1" ht="15.5">
      <c r="A174" s="1160"/>
      <c r="B174" s="1084" t="str">
        <f>B4</f>
        <v>ELEMENT NO. 1 : SUB-STRUCTURES (all provisional)</v>
      </c>
      <c r="C174" s="1170"/>
      <c r="D174" s="1081"/>
      <c r="E174" s="1079"/>
      <c r="F174" s="1171">
        <f>F43</f>
        <v>0</v>
      </c>
      <c r="G174" s="169"/>
    </row>
    <row r="175" spans="1:7" s="148" customFormat="1" ht="15.5">
      <c r="A175" s="1160"/>
      <c r="B175" s="1084"/>
      <c r="C175" s="1170"/>
      <c r="D175" s="1081"/>
      <c r="E175" s="1079"/>
      <c r="F175" s="1171"/>
      <c r="G175" s="169"/>
    </row>
    <row r="176" spans="1:7" s="148" customFormat="1" ht="15.5">
      <c r="A176" s="1160"/>
      <c r="B176" s="1084" t="str">
        <f>B46</f>
        <v>ELEMENT NO. 2: SUPER STRUCTURE CONCRETE</v>
      </c>
      <c r="C176" s="1170"/>
      <c r="D176" s="1081"/>
      <c r="E176" s="1079"/>
      <c r="F176" s="1171">
        <f>F58</f>
        <v>0</v>
      </c>
      <c r="G176" s="169"/>
    </row>
    <row r="177" spans="1:7" s="148" customFormat="1" ht="15.5">
      <c r="A177" s="1160"/>
      <c r="B177" s="1084"/>
      <c r="C177" s="1170"/>
      <c r="D177" s="1081"/>
      <c r="E177" s="1079"/>
      <c r="F177" s="1171"/>
      <c r="G177" s="169"/>
    </row>
    <row r="178" spans="1:7" s="148" customFormat="1" ht="15.5">
      <c r="A178" s="1160"/>
      <c r="B178" s="1084" t="str">
        <f>B60</f>
        <v>ELEMENT NO. 3 SUPERSTRUCTURE WALLING</v>
      </c>
      <c r="C178" s="1170"/>
      <c r="D178" s="1081"/>
      <c r="E178" s="1079"/>
      <c r="F178" s="1172">
        <f>F70</f>
        <v>0</v>
      </c>
      <c r="G178" s="169"/>
    </row>
    <row r="179" spans="1:7" s="148" customFormat="1" ht="15.5">
      <c r="A179" s="1160"/>
      <c r="B179" s="1084"/>
      <c r="C179" s="1170"/>
      <c r="D179" s="1081"/>
      <c r="E179" s="1079"/>
      <c r="F179" s="1172"/>
      <c r="G179" s="169"/>
    </row>
    <row r="180" spans="1:7" s="148" customFormat="1" ht="15.5">
      <c r="A180" s="1160"/>
      <c r="B180" s="1084" t="str">
        <f>B72</f>
        <v>BILL NO. 4: ROOF</v>
      </c>
      <c r="C180" s="1170"/>
      <c r="D180" s="1081"/>
      <c r="E180" s="1079"/>
      <c r="F180" s="1172">
        <f>F99</f>
        <v>0</v>
      </c>
      <c r="G180" s="169"/>
    </row>
    <row r="181" spans="1:7" s="148" customFormat="1" ht="15.5">
      <c r="A181" s="1160"/>
      <c r="B181" s="1084"/>
      <c r="C181" s="1170"/>
      <c r="D181" s="1081"/>
      <c r="E181" s="1079"/>
      <c r="F181" s="1172"/>
      <c r="G181" s="169"/>
    </row>
    <row r="182" spans="1:7" s="148" customFormat="1" ht="15.5">
      <c r="A182" s="1160"/>
      <c r="B182" s="1084" t="str">
        <f>B101</f>
        <v>BILL NO. 5 : DOORS</v>
      </c>
      <c r="C182" s="1170"/>
      <c r="D182" s="1081"/>
      <c r="E182" s="1079"/>
      <c r="F182" s="1172">
        <f>F113</f>
        <v>0</v>
      </c>
      <c r="G182" s="169"/>
    </row>
    <row r="183" spans="1:7" s="148" customFormat="1" ht="15.5">
      <c r="A183" s="1160"/>
      <c r="B183" s="1084"/>
      <c r="C183" s="1170"/>
      <c r="D183" s="1081"/>
      <c r="E183" s="1079"/>
      <c r="F183" s="1172"/>
      <c r="G183" s="169"/>
    </row>
    <row r="184" spans="1:7" s="148" customFormat="1" ht="15.5">
      <c r="A184" s="1160"/>
      <c r="B184" s="1162" t="str">
        <f>B115</f>
        <v>BILL NO. 6 : WINDOWS</v>
      </c>
      <c r="C184" s="1161"/>
      <c r="D184" s="1153"/>
      <c r="E184" s="1154"/>
      <c r="F184" s="1173">
        <f>F117</f>
        <v>0</v>
      </c>
      <c r="G184" s="169"/>
    </row>
    <row r="185" spans="1:7" s="148" customFormat="1" ht="15.5">
      <c r="A185" s="1160"/>
      <c r="B185" s="1162"/>
      <c r="C185" s="1161"/>
      <c r="D185" s="1153"/>
      <c r="E185" s="1154"/>
      <c r="F185" s="1173"/>
      <c r="G185" s="169"/>
    </row>
    <row r="186" spans="1:7" s="148" customFormat="1" ht="15.5">
      <c r="A186" s="1160"/>
      <c r="B186" s="1162" t="str">
        <f>B120</f>
        <v>ELEMENT NO 7: FINISHES</v>
      </c>
      <c r="C186" s="1161"/>
      <c r="D186" s="1153"/>
      <c r="E186" s="1154"/>
      <c r="F186" s="1173">
        <f>F139</f>
        <v>0</v>
      </c>
      <c r="G186" s="169"/>
    </row>
    <row r="187" spans="1:7" s="148" customFormat="1" ht="15.5">
      <c r="A187" s="1160"/>
      <c r="B187" s="1162"/>
      <c r="C187" s="1161"/>
      <c r="D187" s="1153"/>
      <c r="E187" s="1154"/>
      <c r="F187" s="1173"/>
      <c r="G187" s="169"/>
    </row>
    <row r="188" spans="1:7" s="148" customFormat="1" ht="15.5">
      <c r="A188" s="1160"/>
      <c r="B188" s="1024" t="str">
        <f>B141</f>
        <v xml:space="preserve">BILL NO. 8 : LIGHTING &amp; POWER FITTINGS </v>
      </c>
      <c r="C188" s="1161"/>
      <c r="D188" s="1153"/>
      <c r="E188" s="1154"/>
      <c r="F188" s="1173">
        <f>F153</f>
        <v>0</v>
      </c>
      <c r="G188" s="169"/>
    </row>
    <row r="189" spans="1:7" s="148" customFormat="1" ht="15.5">
      <c r="A189" s="1160"/>
      <c r="B189" s="1162"/>
      <c r="C189" s="1161"/>
      <c r="D189" s="1153"/>
      <c r="E189" s="1154"/>
      <c r="F189" s="1173"/>
      <c r="G189" s="169"/>
    </row>
    <row r="190" spans="1:7" s="148" customFormat="1" ht="15.5">
      <c r="A190" s="1160"/>
      <c r="B190" s="1024" t="str">
        <f>B155</f>
        <v>BILL NO. 9: FANS</v>
      </c>
      <c r="C190" s="1161"/>
      <c r="D190" s="1153"/>
      <c r="E190" s="1154"/>
      <c r="F190" s="1173">
        <f>F153</f>
        <v>0</v>
      </c>
      <c r="G190" s="169"/>
    </row>
    <row r="191" spans="1:7" s="148" customFormat="1" ht="15.5">
      <c r="A191" s="1160"/>
      <c r="B191" s="1162"/>
      <c r="C191" s="1161"/>
      <c r="D191" s="1153"/>
      <c r="E191" s="1154"/>
      <c r="F191" s="1173"/>
      <c r="G191" s="169"/>
    </row>
    <row r="192" spans="1:7" s="148" customFormat="1" ht="15.5">
      <c r="A192" s="1160"/>
      <c r="B192" s="1162" t="str">
        <f>B160</f>
        <v xml:space="preserve"> BILL NO. 10: POWER SUPPLY AND CONNECTION </v>
      </c>
      <c r="C192" s="1161"/>
      <c r="D192" s="1153"/>
      <c r="E192" s="1154"/>
      <c r="F192" s="1173">
        <f>F162</f>
        <v>0</v>
      </c>
      <c r="G192" s="169"/>
    </row>
    <row r="193" spans="1:7" s="148" customFormat="1" ht="15.5">
      <c r="A193" s="1160"/>
      <c r="B193" s="1162"/>
      <c r="C193" s="1161"/>
      <c r="D193" s="1153"/>
      <c r="E193" s="1154"/>
      <c r="F193" s="1174"/>
      <c r="G193" s="169"/>
    </row>
    <row r="194" spans="1:7" s="148" customFormat="1" ht="15.5">
      <c r="A194" s="1160"/>
      <c r="B194" s="1162"/>
      <c r="C194" s="1161"/>
      <c r="D194" s="1153"/>
      <c r="E194" s="1154"/>
      <c r="F194" s="1174"/>
      <c r="G194" s="169"/>
    </row>
    <row r="195" spans="1:7" s="148" customFormat="1" ht="15.5">
      <c r="A195" s="1160"/>
      <c r="B195" s="1162"/>
      <c r="C195" s="1161"/>
      <c r="D195" s="1153"/>
      <c r="E195" s="1154"/>
      <c r="F195" s="1174"/>
      <c r="G195" s="169"/>
    </row>
    <row r="196" spans="1:7" s="102" customFormat="1" ht="18.5">
      <c r="A196" s="1072"/>
      <c r="B196" s="1175" t="s">
        <v>1603</v>
      </c>
      <c r="C196" s="1176"/>
      <c r="D196" s="1177"/>
      <c r="E196" s="1178"/>
      <c r="F196" s="1179">
        <f>SUM(F174:F195)</f>
        <v>0</v>
      </c>
      <c r="G196" s="941"/>
    </row>
    <row r="197" spans="1:7" s="102" customFormat="1" ht="18.5">
      <c r="A197" s="1072"/>
      <c r="B197" s="1175"/>
      <c r="C197" s="1176"/>
      <c r="D197" s="1177"/>
      <c r="E197" s="1178"/>
      <c r="F197" s="1179"/>
      <c r="G197" s="171"/>
    </row>
    <row r="198" spans="1:7" s="102" customFormat="1" ht="18.5">
      <c r="A198" s="1072"/>
      <c r="B198" s="1175"/>
      <c r="C198" s="1176"/>
      <c r="D198" s="1177"/>
      <c r="E198" s="1178"/>
      <c r="F198" s="1179"/>
      <c r="G198" s="171"/>
    </row>
    <row r="199" spans="1:7" s="102" customFormat="1" ht="34">
      <c r="A199" s="1072"/>
      <c r="B199" s="1175" t="s">
        <v>1192</v>
      </c>
      <c r="C199" s="1176"/>
      <c r="D199" s="1177"/>
      <c r="E199" s="1178"/>
      <c r="F199" s="1179">
        <f>F196*2</f>
        <v>0</v>
      </c>
      <c r="G199" s="171"/>
    </row>
    <row r="200" spans="1:7" s="101" customFormat="1" ht="18.5">
      <c r="A200" s="1088"/>
      <c r="B200" s="1175"/>
      <c r="C200" s="1180"/>
      <c r="D200" s="1181"/>
      <c r="E200" s="1182"/>
      <c r="F200" s="1179"/>
      <c r="G200" s="159"/>
    </row>
    <row r="201" spans="1:7" s="101" customFormat="1" ht="18.5">
      <c r="A201" s="1088"/>
      <c r="B201" s="1175"/>
      <c r="C201" s="1180"/>
      <c r="D201" s="1181"/>
      <c r="E201" s="1182"/>
      <c r="F201" s="1179"/>
      <c r="G201" s="159"/>
    </row>
    <row r="202" spans="1:7" ht="15.5">
      <c r="A202" s="1160"/>
      <c r="B202" s="1162"/>
      <c r="C202" s="1161"/>
      <c r="D202" s="1075"/>
      <c r="E202" s="1081"/>
      <c r="F202" s="1082"/>
      <c r="G202" s="1058"/>
    </row>
    <row r="203" spans="1:7">
      <c r="A203" s="807"/>
      <c r="B203" s="808"/>
      <c r="C203" s="809"/>
      <c r="D203" s="810"/>
      <c r="E203" s="811"/>
      <c r="F203" s="812"/>
    </row>
  </sheetData>
  <pageMargins left="0.7" right="0.7" top="0.75" bottom="0.75" header="0.3" footer="0.3"/>
  <pageSetup paperSize="9" scale="88" orientation="portrait" r:id="rId1"/>
  <rowBreaks count="2" manualBreakCount="2">
    <brk id="43" max="5" man="1"/>
    <brk id="1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222"/>
  <sheetViews>
    <sheetView view="pageBreakPreview" zoomScale="102" zoomScaleNormal="100" zoomScaleSheetLayoutView="102" workbookViewId="0">
      <pane xSplit="1" ySplit="3" topLeftCell="B184" activePane="bottomRight" state="frozen"/>
      <selection pane="topRight" activeCell="B1" sqref="B1"/>
      <selection pane="bottomLeft" activeCell="A4" sqref="A4"/>
      <selection pane="bottomRight" activeCell="G1" sqref="G1:L1048576"/>
    </sheetView>
  </sheetViews>
  <sheetFormatPr defaultColWidth="9.08984375" defaultRowHeight="14.5"/>
  <cols>
    <col min="1" max="1" width="6.54296875" style="172" bestFit="1" customWidth="1"/>
    <col min="2" max="2" width="51.90625" style="135" customWidth="1"/>
    <col min="3" max="3" width="5.453125" style="133" bestFit="1" customWidth="1"/>
    <col min="4" max="4" width="7.1796875" style="134" bestFit="1" customWidth="1"/>
    <col min="5" max="5" width="7" style="136" bestFit="1" customWidth="1"/>
    <col min="6" max="6" width="11.36328125" style="173" bestFit="1" customWidth="1"/>
    <col min="7" max="7" width="12.6328125" style="129" bestFit="1" customWidth="1"/>
    <col min="8" max="8" width="9.08984375" style="103"/>
    <col min="9" max="9" width="9.90625" style="103" bestFit="1" customWidth="1"/>
    <col min="10" max="16" width="9.08984375" style="103"/>
    <col min="17" max="17" width="6.08984375" style="103" customWidth="1"/>
    <col min="18" max="16384" width="9.08984375" style="103"/>
  </cols>
  <sheetData>
    <row r="1" spans="1:7">
      <c r="A1" s="668" t="s">
        <v>0</v>
      </c>
      <c r="B1" s="669" t="s">
        <v>1</v>
      </c>
      <c r="C1" s="592" t="s">
        <v>2</v>
      </c>
      <c r="D1" s="593" t="s">
        <v>426</v>
      </c>
      <c r="E1" s="594" t="s">
        <v>368</v>
      </c>
      <c r="F1" s="595" t="s">
        <v>472</v>
      </c>
      <c r="G1" s="186"/>
    </row>
    <row r="2" spans="1:7" s="11" customFormat="1">
      <c r="A2" s="670"/>
      <c r="B2" s="584" t="s">
        <v>859</v>
      </c>
      <c r="C2" s="671"/>
      <c r="D2" s="672"/>
      <c r="E2" s="607"/>
      <c r="F2" s="587"/>
      <c r="G2" s="131"/>
    </row>
    <row r="3" spans="1:7" s="101" customFormat="1">
      <c r="A3" s="678">
        <v>3</v>
      </c>
      <c r="B3" s="674" t="s">
        <v>595</v>
      </c>
      <c r="C3" s="648"/>
      <c r="D3" s="617"/>
      <c r="E3" s="618"/>
      <c r="F3" s="675"/>
      <c r="G3" s="159"/>
    </row>
    <row r="4" spans="1:7" s="11" customFormat="1">
      <c r="A4" s="677"/>
      <c r="B4" s="599"/>
      <c r="C4" s="597"/>
      <c r="D4" s="606"/>
      <c r="E4" s="586"/>
      <c r="F4" s="612"/>
      <c r="G4" s="131"/>
    </row>
    <row r="5" spans="1:7" s="11" customFormat="1">
      <c r="A5" s="676">
        <v>3.1</v>
      </c>
      <c r="B5" s="584" t="s">
        <v>596</v>
      </c>
      <c r="C5" s="597"/>
      <c r="D5" s="606"/>
      <c r="E5" s="586"/>
      <c r="F5" s="612"/>
      <c r="G5" s="131"/>
    </row>
    <row r="6" spans="1:7" s="11" customFormat="1" ht="29">
      <c r="A6" s="677" t="s">
        <v>458</v>
      </c>
      <c r="B6" s="590" t="s">
        <v>597</v>
      </c>
      <c r="C6" s="617" t="s">
        <v>33</v>
      </c>
      <c r="D6" s="606">
        <v>125</v>
      </c>
      <c r="E6" s="586"/>
      <c r="F6" s="612">
        <f>D6*E6</f>
        <v>0</v>
      </c>
      <c r="G6" s="131"/>
    </row>
    <row r="7" spans="1:7" s="11" customFormat="1" ht="29">
      <c r="A7" s="677" t="s">
        <v>459</v>
      </c>
      <c r="B7" s="590" t="s">
        <v>438</v>
      </c>
      <c r="C7" s="617" t="s">
        <v>33</v>
      </c>
      <c r="D7" s="606">
        <f>D6</f>
        <v>125</v>
      </c>
      <c r="E7" s="586"/>
      <c r="F7" s="612">
        <f t="shared" ref="F7:F18" si="0">D7*E7</f>
        <v>0</v>
      </c>
      <c r="G7" s="131"/>
    </row>
    <row r="8" spans="1:7" s="159" customFormat="1" ht="29">
      <c r="A8" s="677" t="s">
        <v>462</v>
      </c>
      <c r="B8" s="616" t="s">
        <v>1051</v>
      </c>
      <c r="C8" s="617" t="s">
        <v>1050</v>
      </c>
      <c r="D8" s="617">
        <v>13</v>
      </c>
      <c r="E8" s="618"/>
      <c r="F8" s="619">
        <f t="shared" si="0"/>
        <v>0</v>
      </c>
    </row>
    <row r="9" spans="1:7" s="159" customFormat="1" ht="16.5">
      <c r="A9" s="615" t="s">
        <v>463</v>
      </c>
      <c r="B9" s="616" t="s">
        <v>1257</v>
      </c>
      <c r="C9" s="617" t="s">
        <v>842</v>
      </c>
      <c r="D9" s="617">
        <v>10</v>
      </c>
      <c r="E9" s="618"/>
      <c r="F9" s="619">
        <f t="shared" si="0"/>
        <v>0</v>
      </c>
    </row>
    <row r="10" spans="1:7" s="137" customFormat="1">
      <c r="A10" s="678"/>
      <c r="B10" s="674" t="s">
        <v>30</v>
      </c>
      <c r="C10" s="648"/>
      <c r="D10" s="617"/>
      <c r="E10" s="618"/>
      <c r="F10" s="679"/>
      <c r="G10" s="163"/>
    </row>
    <row r="11" spans="1:7" s="11" customFormat="1" ht="29">
      <c r="A11" s="680" t="s">
        <v>464</v>
      </c>
      <c r="B11" s="590" t="s">
        <v>448</v>
      </c>
      <c r="C11" s="617" t="s">
        <v>33</v>
      </c>
      <c r="D11" s="606">
        <f>D7</f>
        <v>125</v>
      </c>
      <c r="E11" s="586"/>
      <c r="F11" s="612">
        <f t="shared" si="0"/>
        <v>0</v>
      </c>
      <c r="G11" s="131"/>
    </row>
    <row r="12" spans="1:7" s="11" customFormat="1" ht="29">
      <c r="A12" s="677" t="s">
        <v>465</v>
      </c>
      <c r="B12" s="590" t="s">
        <v>367</v>
      </c>
      <c r="C12" s="617" t="s">
        <v>33</v>
      </c>
      <c r="D12" s="606">
        <f>D11</f>
        <v>125</v>
      </c>
      <c r="E12" s="586"/>
      <c r="F12" s="612">
        <f t="shared" si="0"/>
        <v>0</v>
      </c>
      <c r="G12" s="131"/>
    </row>
    <row r="13" spans="1:7" s="11" customFormat="1">
      <c r="A13" s="677"/>
      <c r="B13" s="584" t="s">
        <v>35</v>
      </c>
      <c r="C13" s="597"/>
      <c r="D13" s="606"/>
      <c r="E13" s="586"/>
      <c r="F13" s="612">
        <f t="shared" si="0"/>
        <v>0</v>
      </c>
      <c r="G13" s="131"/>
    </row>
    <row r="14" spans="1:7" s="11" customFormat="1" ht="43.5">
      <c r="A14" s="677" t="s">
        <v>466</v>
      </c>
      <c r="B14" s="590" t="s">
        <v>593</v>
      </c>
      <c r="C14" s="617" t="s">
        <v>33</v>
      </c>
      <c r="D14" s="606">
        <f>D12</f>
        <v>125</v>
      </c>
      <c r="E14" s="586"/>
      <c r="F14" s="612">
        <f t="shared" si="0"/>
        <v>0</v>
      </c>
      <c r="G14" s="131"/>
    </row>
    <row r="15" spans="1:7" s="11" customFormat="1">
      <c r="A15" s="677"/>
      <c r="B15" s="584" t="s">
        <v>38</v>
      </c>
      <c r="C15" s="597"/>
      <c r="D15" s="606"/>
      <c r="E15" s="586"/>
      <c r="F15" s="612">
        <f t="shared" si="0"/>
        <v>0</v>
      </c>
      <c r="G15" s="131"/>
    </row>
    <row r="16" spans="1:7" s="11" customFormat="1" ht="43.5">
      <c r="A16" s="677" t="s">
        <v>467</v>
      </c>
      <c r="B16" s="590" t="s">
        <v>594</v>
      </c>
      <c r="C16" s="617" t="s">
        <v>33</v>
      </c>
      <c r="D16" s="606">
        <f>D14</f>
        <v>125</v>
      </c>
      <c r="E16" s="586"/>
      <c r="F16" s="612">
        <f t="shared" si="0"/>
        <v>0</v>
      </c>
      <c r="G16" s="131"/>
    </row>
    <row r="17" spans="1:7" s="11" customFormat="1">
      <c r="A17" s="677"/>
      <c r="B17" s="584" t="s">
        <v>443</v>
      </c>
      <c r="C17" s="597"/>
      <c r="D17" s="606"/>
      <c r="E17" s="586"/>
      <c r="F17" s="612">
        <f t="shared" si="0"/>
        <v>0</v>
      </c>
      <c r="G17" s="131"/>
    </row>
    <row r="18" spans="1:7" s="11" customFormat="1" ht="29">
      <c r="A18" s="677" t="s">
        <v>468</v>
      </c>
      <c r="B18" s="590" t="s">
        <v>1258</v>
      </c>
      <c r="C18" s="617" t="s">
        <v>33</v>
      </c>
      <c r="D18" s="606">
        <v>66</v>
      </c>
      <c r="E18" s="586"/>
      <c r="F18" s="612">
        <f t="shared" si="0"/>
        <v>0</v>
      </c>
      <c r="G18" s="131"/>
    </row>
    <row r="19" spans="1:7" s="11" customFormat="1">
      <c r="A19" s="677"/>
      <c r="B19" s="584" t="s">
        <v>446</v>
      </c>
      <c r="C19" s="606"/>
      <c r="D19" s="606"/>
      <c r="E19" s="586"/>
      <c r="F19" s="612">
        <f t="shared" ref="F19:F20" si="1">D19*E19</f>
        <v>0</v>
      </c>
      <c r="G19" s="131"/>
    </row>
    <row r="20" spans="1:7" s="11" customFormat="1">
      <c r="A20" s="677"/>
      <c r="B20" s="584" t="s">
        <v>446</v>
      </c>
      <c r="C20" s="606"/>
      <c r="D20" s="606"/>
      <c r="E20" s="586"/>
      <c r="F20" s="612">
        <f t="shared" si="1"/>
        <v>0</v>
      </c>
      <c r="G20" s="131"/>
    </row>
    <row r="21" spans="1:7" s="644" customFormat="1" ht="43.5">
      <c r="A21" s="681" t="s">
        <v>469</v>
      </c>
      <c r="B21" s="649" t="s">
        <v>1053</v>
      </c>
      <c r="C21" s="648"/>
      <c r="D21" s="618"/>
      <c r="E21" s="648"/>
      <c r="F21" s="682"/>
    </row>
    <row r="22" spans="1:7" s="644" customFormat="1">
      <c r="A22" s="681"/>
      <c r="B22" s="674" t="s">
        <v>1058</v>
      </c>
      <c r="C22" s="648"/>
      <c r="D22" s="618"/>
      <c r="E22" s="648"/>
      <c r="F22" s="682"/>
    </row>
    <row r="23" spans="1:7" s="644" customFormat="1">
      <c r="A23" s="681" t="s">
        <v>470</v>
      </c>
      <c r="B23" s="616" t="s">
        <v>1054</v>
      </c>
      <c r="C23" s="648" t="s">
        <v>19</v>
      </c>
      <c r="D23" s="618">
        <v>80</v>
      </c>
      <c r="E23" s="648"/>
      <c r="F23" s="682">
        <f>E23*G24</f>
        <v>0</v>
      </c>
    </row>
    <row r="24" spans="1:7" s="644" customFormat="1">
      <c r="A24" s="681" t="s">
        <v>1194</v>
      </c>
      <c r="B24" s="616" t="s">
        <v>1055</v>
      </c>
      <c r="C24" s="648" t="s">
        <v>19</v>
      </c>
      <c r="D24" s="618">
        <v>215</v>
      </c>
      <c r="E24" s="648"/>
      <c r="F24" s="682">
        <f>E24*D24</f>
        <v>0</v>
      </c>
      <c r="G24" s="661"/>
    </row>
    <row r="25" spans="1:7" s="644" customFormat="1">
      <c r="A25" s="681"/>
      <c r="B25" s="674" t="s">
        <v>1062</v>
      </c>
      <c r="C25" s="648"/>
      <c r="D25" s="618"/>
      <c r="E25" s="648"/>
      <c r="F25" s="682"/>
      <c r="G25" s="646"/>
    </row>
    <row r="26" spans="1:7" s="644" customFormat="1">
      <c r="A26" s="681" t="s">
        <v>471</v>
      </c>
      <c r="B26" s="616" t="s">
        <v>1054</v>
      </c>
      <c r="C26" s="648" t="s">
        <v>879</v>
      </c>
      <c r="D26" s="618">
        <v>275</v>
      </c>
      <c r="E26" s="648"/>
      <c r="F26" s="682">
        <f t="shared" ref="F26:F30" si="2">E26*D26</f>
        <v>0</v>
      </c>
    </row>
    <row r="27" spans="1:7" s="644" customFormat="1">
      <c r="A27" s="681" t="s">
        <v>1195</v>
      </c>
      <c r="B27" s="616" t="s">
        <v>1055</v>
      </c>
      <c r="C27" s="648" t="s">
        <v>879</v>
      </c>
      <c r="D27" s="618">
        <v>250</v>
      </c>
      <c r="E27" s="648"/>
      <c r="F27" s="682">
        <f t="shared" si="2"/>
        <v>0</v>
      </c>
      <c r="G27" s="661"/>
    </row>
    <row r="28" spans="1:7" s="644" customFormat="1">
      <c r="A28" s="681"/>
      <c r="B28" s="635" t="s">
        <v>1256</v>
      </c>
      <c r="C28" s="648"/>
      <c r="D28" s="648"/>
      <c r="E28" s="648"/>
      <c r="F28" s="682"/>
      <c r="G28" s="646"/>
    </row>
    <row r="29" spans="1:7" s="644" customFormat="1">
      <c r="A29" s="681" t="s">
        <v>1091</v>
      </c>
      <c r="B29" s="616" t="s">
        <v>1054</v>
      </c>
      <c r="C29" s="648" t="s">
        <v>19</v>
      </c>
      <c r="D29" s="648">
        <v>40</v>
      </c>
      <c r="E29" s="648"/>
      <c r="F29" s="682">
        <f t="shared" si="2"/>
        <v>0</v>
      </c>
      <c r="G29" s="646"/>
    </row>
    <row r="30" spans="1:7" s="644" customFormat="1">
      <c r="A30" s="681" t="s">
        <v>1196</v>
      </c>
      <c r="B30" s="616" t="s">
        <v>1055</v>
      </c>
      <c r="C30" s="648" t="s">
        <v>19</v>
      </c>
      <c r="D30" s="648">
        <v>200</v>
      </c>
      <c r="E30" s="648"/>
      <c r="F30" s="682">
        <f t="shared" si="2"/>
        <v>0</v>
      </c>
    </row>
    <row r="31" spans="1:7" s="644" customFormat="1">
      <c r="A31" s="681"/>
      <c r="B31" s="635" t="s">
        <v>1259</v>
      </c>
      <c r="C31" s="648"/>
      <c r="D31" s="648"/>
      <c r="E31" s="648"/>
      <c r="F31" s="682"/>
    </row>
    <row r="32" spans="1:7" s="159" customFormat="1" ht="29">
      <c r="A32" s="681" t="s">
        <v>1093</v>
      </c>
      <c r="B32" s="616" t="s">
        <v>447</v>
      </c>
      <c r="C32" s="617" t="s">
        <v>588</v>
      </c>
      <c r="D32" s="617">
        <f>D16</f>
        <v>125</v>
      </c>
      <c r="E32" s="618"/>
      <c r="F32" s="619">
        <f>D32*E32</f>
        <v>0</v>
      </c>
    </row>
    <row r="33" spans="1:197" s="159" customFormat="1">
      <c r="A33" s="615"/>
      <c r="B33" s="635" t="s">
        <v>440</v>
      </c>
      <c r="C33" s="648"/>
      <c r="D33" s="617"/>
      <c r="E33" s="618"/>
      <c r="F33" s="619"/>
    </row>
    <row r="34" spans="1:197" s="159" customFormat="1" ht="29">
      <c r="A34" s="615"/>
      <c r="B34" s="649" t="s">
        <v>236</v>
      </c>
      <c r="C34" s="648"/>
      <c r="D34" s="617"/>
      <c r="E34" s="618"/>
      <c r="F34" s="619">
        <f>D34*E34</f>
        <v>0</v>
      </c>
    </row>
    <row r="35" spans="1:197" s="159" customFormat="1" ht="16.5">
      <c r="A35" s="615" t="s">
        <v>1466</v>
      </c>
      <c r="B35" s="616" t="s">
        <v>1256</v>
      </c>
      <c r="C35" s="617" t="s">
        <v>842</v>
      </c>
      <c r="D35" s="617">
        <v>4</v>
      </c>
      <c r="E35" s="618"/>
      <c r="F35" s="619">
        <f>D35*E35</f>
        <v>0</v>
      </c>
    </row>
    <row r="36" spans="1:197" s="159" customFormat="1" ht="16.5">
      <c r="A36" s="615" t="s">
        <v>1095</v>
      </c>
      <c r="B36" s="616" t="s">
        <v>442</v>
      </c>
      <c r="C36" s="617" t="s">
        <v>608</v>
      </c>
      <c r="D36" s="617">
        <f>D32*0.15</f>
        <v>18.75</v>
      </c>
      <c r="E36" s="618"/>
      <c r="F36" s="619">
        <f>D36*E36</f>
        <v>0</v>
      </c>
    </row>
    <row r="37" spans="1:197" s="159" customFormat="1">
      <c r="A37" s="615" t="s">
        <v>1098</v>
      </c>
      <c r="B37" s="616" t="s">
        <v>1058</v>
      </c>
      <c r="C37" s="617" t="s">
        <v>1059</v>
      </c>
      <c r="D37" s="617">
        <f>(14.5*2+8.5*4)*0.3</f>
        <v>18.899999999999999</v>
      </c>
      <c r="E37" s="618"/>
      <c r="F37" s="619">
        <f t="shared" ref="F37:F38" si="3">D37*E37</f>
        <v>0</v>
      </c>
    </row>
    <row r="38" spans="1:197" s="159" customFormat="1">
      <c r="A38" s="615" t="s">
        <v>1099</v>
      </c>
      <c r="B38" s="616" t="s">
        <v>1061</v>
      </c>
      <c r="C38" s="617" t="s">
        <v>1059</v>
      </c>
      <c r="D38" s="617">
        <v>11</v>
      </c>
      <c r="E38" s="618"/>
      <c r="F38" s="619">
        <f t="shared" si="3"/>
        <v>0</v>
      </c>
    </row>
    <row r="39" spans="1:197" s="150" customFormat="1" ht="15.5">
      <c r="A39" s="693"/>
      <c r="B39" s="694" t="s">
        <v>1193</v>
      </c>
      <c r="C39" s="695"/>
      <c r="D39" s="695"/>
      <c r="E39" s="696"/>
      <c r="F39" s="697">
        <f>SUM(F5:F38)</f>
        <v>0</v>
      </c>
      <c r="G39" s="165"/>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c r="CL39" s="153"/>
      <c r="CM39" s="153"/>
      <c r="CN39" s="153"/>
      <c r="CO39" s="153"/>
      <c r="CP39" s="153"/>
      <c r="CQ39" s="153"/>
      <c r="CR39" s="153"/>
      <c r="CS39" s="153"/>
      <c r="CT39" s="153"/>
      <c r="CU39" s="153"/>
      <c r="CV39" s="153"/>
      <c r="CW39" s="153"/>
      <c r="CX39" s="153"/>
      <c r="CY39" s="153"/>
      <c r="CZ39" s="153"/>
      <c r="DA39" s="153"/>
      <c r="DB39" s="153"/>
      <c r="DC39" s="153"/>
      <c r="DD39" s="153"/>
      <c r="DE39" s="153"/>
      <c r="DF39" s="153"/>
      <c r="DG39" s="153"/>
      <c r="DH39" s="153"/>
      <c r="DI39" s="153"/>
      <c r="DJ39" s="153"/>
      <c r="DK39" s="153"/>
      <c r="DL39" s="153"/>
      <c r="DM39" s="153"/>
      <c r="DN39" s="153"/>
      <c r="DO39" s="153"/>
      <c r="DP39" s="153"/>
      <c r="DQ39" s="153"/>
      <c r="DR39" s="153"/>
      <c r="DS39" s="153"/>
      <c r="DT39" s="153"/>
      <c r="DU39" s="153"/>
      <c r="DV39" s="153"/>
      <c r="DW39" s="153"/>
      <c r="DX39" s="153"/>
      <c r="DY39" s="153"/>
      <c r="DZ39" s="153"/>
      <c r="EA39" s="153"/>
      <c r="EB39" s="153"/>
      <c r="EC39" s="153"/>
      <c r="ED39" s="153"/>
      <c r="EE39" s="153"/>
      <c r="EF39" s="153"/>
      <c r="EG39" s="153"/>
      <c r="EH39" s="153"/>
      <c r="EI39" s="153"/>
      <c r="EJ39" s="153"/>
      <c r="EK39" s="153"/>
      <c r="EL39" s="153"/>
      <c r="EM39" s="153"/>
      <c r="EN39" s="153"/>
      <c r="EO39" s="153"/>
      <c r="EP39" s="153"/>
      <c r="EQ39" s="153"/>
      <c r="ER39" s="153"/>
      <c r="ES39" s="153"/>
      <c r="ET39" s="153"/>
      <c r="EU39" s="153"/>
      <c r="EV39" s="153"/>
      <c r="EW39" s="153"/>
      <c r="EX39" s="153"/>
      <c r="EY39" s="153"/>
      <c r="EZ39" s="153"/>
      <c r="FA39" s="153"/>
      <c r="FB39" s="153"/>
      <c r="FC39" s="153"/>
      <c r="FD39" s="153"/>
      <c r="FE39" s="153"/>
      <c r="FF39" s="153"/>
      <c r="FG39" s="153"/>
      <c r="FH39" s="153"/>
      <c r="FI39" s="153"/>
      <c r="FJ39" s="153"/>
      <c r="FK39" s="153"/>
      <c r="FL39" s="153"/>
      <c r="FM39" s="153"/>
      <c r="FN39" s="153"/>
      <c r="FO39" s="153"/>
      <c r="FP39" s="153"/>
      <c r="FQ39" s="153"/>
      <c r="FR39" s="153"/>
      <c r="FS39" s="153"/>
      <c r="FT39" s="153"/>
      <c r="FU39" s="153"/>
      <c r="FV39" s="153"/>
      <c r="FW39" s="153"/>
      <c r="FX39" s="153"/>
      <c r="FY39" s="153"/>
      <c r="FZ39" s="153"/>
      <c r="GA39" s="153"/>
      <c r="GB39" s="153"/>
      <c r="GC39" s="153"/>
      <c r="GD39" s="153"/>
      <c r="GE39" s="153"/>
      <c r="GF39" s="153"/>
      <c r="GG39" s="153"/>
      <c r="GH39" s="153"/>
      <c r="GI39" s="153"/>
      <c r="GJ39" s="153"/>
      <c r="GK39" s="153"/>
      <c r="GL39" s="153"/>
      <c r="GM39" s="153"/>
      <c r="GN39" s="153"/>
      <c r="GO39" s="153"/>
    </row>
    <row r="40" spans="1:197" s="150" customFormat="1" ht="15.5">
      <c r="A40" s="693"/>
      <c r="B40" s="694"/>
      <c r="C40" s="695"/>
      <c r="D40" s="695"/>
      <c r="E40" s="696"/>
      <c r="F40" s="697"/>
      <c r="G40" s="165"/>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153"/>
      <c r="CS40" s="153"/>
      <c r="CT40" s="153"/>
      <c r="CU40" s="153"/>
      <c r="CV40" s="153"/>
      <c r="CW40" s="153"/>
      <c r="CX40" s="153"/>
      <c r="CY40" s="153"/>
      <c r="CZ40" s="153"/>
      <c r="DA40" s="153"/>
      <c r="DB40" s="153"/>
      <c r="DC40" s="153"/>
      <c r="DD40" s="153"/>
      <c r="DE40" s="153"/>
      <c r="DF40" s="153"/>
      <c r="DG40" s="153"/>
      <c r="DH40" s="153"/>
      <c r="DI40" s="153"/>
      <c r="DJ40" s="153"/>
      <c r="DK40" s="153"/>
      <c r="DL40" s="153"/>
      <c r="DM40" s="153"/>
      <c r="DN40" s="153"/>
      <c r="DO40" s="153"/>
      <c r="DP40" s="153"/>
      <c r="DQ40" s="153"/>
      <c r="DR40" s="153"/>
      <c r="DS40" s="153"/>
      <c r="DT40" s="153"/>
      <c r="DU40" s="153"/>
      <c r="DV40" s="153"/>
      <c r="DW40" s="153"/>
      <c r="DX40" s="153"/>
      <c r="DY40" s="153"/>
      <c r="DZ40" s="153"/>
      <c r="EA40" s="153"/>
      <c r="EB40" s="153"/>
      <c r="EC40" s="153"/>
      <c r="ED40" s="153"/>
      <c r="EE40" s="153"/>
      <c r="EF40" s="153"/>
      <c r="EG40" s="153"/>
      <c r="EH40" s="153"/>
      <c r="EI40" s="153"/>
      <c r="EJ40" s="153"/>
      <c r="EK40" s="153"/>
      <c r="EL40" s="153"/>
      <c r="EM40" s="153"/>
      <c r="EN40" s="153"/>
      <c r="EO40" s="153"/>
      <c r="EP40" s="153"/>
      <c r="EQ40" s="153"/>
      <c r="ER40" s="153"/>
      <c r="ES40" s="153"/>
      <c r="ET40" s="153"/>
      <c r="EU40" s="153"/>
      <c r="EV40" s="153"/>
      <c r="EW40" s="153"/>
      <c r="EX40" s="153"/>
      <c r="EY40" s="153"/>
      <c r="EZ40" s="153"/>
      <c r="FA40" s="153"/>
      <c r="FB40" s="153"/>
      <c r="FC40" s="153"/>
      <c r="FD40" s="153"/>
      <c r="FE40" s="153"/>
      <c r="FF40" s="153"/>
      <c r="FG40" s="153"/>
      <c r="FH40" s="153"/>
      <c r="FI40" s="153"/>
      <c r="FJ40" s="153"/>
      <c r="FK40" s="153"/>
      <c r="FL40" s="153"/>
      <c r="FM40" s="153"/>
      <c r="FN40" s="153"/>
      <c r="FO40" s="153"/>
      <c r="FP40" s="153"/>
      <c r="FQ40" s="153"/>
      <c r="FR40" s="153"/>
      <c r="FS40" s="153"/>
      <c r="FT40" s="153"/>
      <c r="FU40" s="153"/>
      <c r="FV40" s="153"/>
      <c r="FW40" s="153"/>
      <c r="FX40" s="153"/>
      <c r="FY40" s="153"/>
      <c r="FZ40" s="153"/>
      <c r="GA40" s="153"/>
      <c r="GB40" s="153"/>
      <c r="GC40" s="153"/>
      <c r="GD40" s="153"/>
      <c r="GE40" s="153"/>
      <c r="GF40" s="153"/>
      <c r="GG40" s="153"/>
      <c r="GH40" s="153"/>
      <c r="GI40" s="153"/>
      <c r="GJ40" s="153"/>
      <c r="GK40" s="153"/>
      <c r="GL40" s="153"/>
      <c r="GM40" s="153"/>
      <c r="GN40" s="153"/>
      <c r="GO40" s="153"/>
    </row>
    <row r="41" spans="1:197" s="150" customFormat="1" ht="15.5">
      <c r="A41" s="693"/>
      <c r="B41" s="694"/>
      <c r="C41" s="695"/>
      <c r="D41" s="695"/>
      <c r="E41" s="696"/>
      <c r="F41" s="697"/>
      <c r="G41" s="165"/>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153"/>
      <c r="CC41" s="153"/>
      <c r="CD41" s="153"/>
      <c r="CE41" s="153"/>
      <c r="CF41" s="153"/>
      <c r="CG41" s="153"/>
      <c r="CH41" s="153"/>
      <c r="CI41" s="153"/>
      <c r="CJ41" s="153"/>
      <c r="CK41" s="153"/>
      <c r="CL41" s="153"/>
      <c r="CM41" s="153"/>
      <c r="CN41" s="153"/>
      <c r="CO41" s="153"/>
      <c r="CP41" s="153"/>
      <c r="CQ41" s="153"/>
      <c r="CR41" s="153"/>
      <c r="CS41" s="153"/>
      <c r="CT41" s="153"/>
      <c r="CU41" s="153"/>
      <c r="CV41" s="153"/>
      <c r="CW41" s="153"/>
      <c r="CX41" s="153"/>
      <c r="CY41" s="153"/>
      <c r="CZ41" s="153"/>
      <c r="DA41" s="153"/>
      <c r="DB41" s="153"/>
      <c r="DC41" s="153"/>
      <c r="DD41" s="153"/>
      <c r="DE41" s="153"/>
      <c r="DF41" s="153"/>
      <c r="DG41" s="153"/>
      <c r="DH41" s="153"/>
      <c r="DI41" s="153"/>
      <c r="DJ41" s="153"/>
      <c r="DK41" s="153"/>
      <c r="DL41" s="153"/>
      <c r="DM41" s="153"/>
      <c r="DN41" s="153"/>
      <c r="DO41" s="153"/>
      <c r="DP41" s="153"/>
      <c r="DQ41" s="153"/>
      <c r="DR41" s="153"/>
      <c r="DS41" s="153"/>
      <c r="DT41" s="153"/>
      <c r="DU41" s="153"/>
      <c r="DV41" s="153"/>
      <c r="DW41" s="153"/>
      <c r="DX41" s="153"/>
      <c r="DY41" s="153"/>
      <c r="DZ41" s="153"/>
      <c r="EA41" s="153"/>
      <c r="EB41" s="153"/>
      <c r="EC41" s="153"/>
      <c r="ED41" s="153"/>
      <c r="EE41" s="153"/>
      <c r="EF41" s="153"/>
      <c r="EG41" s="153"/>
      <c r="EH41" s="153"/>
      <c r="EI41" s="153"/>
      <c r="EJ41" s="153"/>
      <c r="EK41" s="153"/>
      <c r="EL41" s="153"/>
      <c r="EM41" s="153"/>
      <c r="EN41" s="153"/>
      <c r="EO41" s="153"/>
      <c r="EP41" s="153"/>
      <c r="EQ41" s="153"/>
      <c r="ER41" s="153"/>
      <c r="ES41" s="153"/>
      <c r="ET41" s="153"/>
      <c r="EU41" s="153"/>
      <c r="EV41" s="153"/>
      <c r="EW41" s="153"/>
      <c r="EX41" s="153"/>
      <c r="EY41" s="153"/>
      <c r="EZ41" s="153"/>
      <c r="FA41" s="153"/>
      <c r="FB41" s="153"/>
      <c r="FC41" s="153"/>
      <c r="FD41" s="153"/>
      <c r="FE41" s="153"/>
      <c r="FF41" s="153"/>
      <c r="FG41" s="153"/>
      <c r="FH41" s="153"/>
      <c r="FI41" s="153"/>
      <c r="FJ41" s="153"/>
      <c r="FK41" s="153"/>
      <c r="FL41" s="153"/>
      <c r="FM41" s="153"/>
      <c r="FN41" s="153"/>
      <c r="FO41" s="153"/>
      <c r="FP41" s="153"/>
      <c r="FQ41" s="153"/>
      <c r="FR41" s="153"/>
      <c r="FS41" s="153"/>
      <c r="FT41" s="153"/>
      <c r="FU41" s="153"/>
      <c r="FV41" s="153"/>
      <c r="FW41" s="153"/>
      <c r="FX41" s="153"/>
      <c r="FY41" s="153"/>
      <c r="FZ41" s="153"/>
      <c r="GA41" s="153"/>
      <c r="GB41" s="153"/>
      <c r="GC41" s="153"/>
      <c r="GD41" s="153"/>
      <c r="GE41" s="153"/>
      <c r="GF41" s="153"/>
      <c r="GG41" s="153"/>
      <c r="GH41" s="153"/>
      <c r="GI41" s="153"/>
      <c r="GJ41" s="153"/>
      <c r="GK41" s="153"/>
      <c r="GL41" s="153"/>
      <c r="GM41" s="153"/>
      <c r="GN41" s="153"/>
      <c r="GO41" s="153"/>
    </row>
    <row r="42" spans="1:197" s="150" customFormat="1" ht="15.5">
      <c r="A42" s="693"/>
      <c r="B42" s="694"/>
      <c r="C42" s="695"/>
      <c r="D42" s="695"/>
      <c r="E42" s="696"/>
      <c r="F42" s="697"/>
      <c r="G42" s="165"/>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53"/>
      <c r="CF42" s="153"/>
      <c r="CG42" s="153"/>
      <c r="CH42" s="153"/>
      <c r="CI42" s="153"/>
      <c r="CJ42" s="153"/>
      <c r="CK42" s="153"/>
      <c r="CL42" s="153"/>
      <c r="CM42" s="153"/>
      <c r="CN42" s="153"/>
      <c r="CO42" s="153"/>
      <c r="CP42" s="153"/>
      <c r="CQ42" s="153"/>
      <c r="CR42" s="153"/>
      <c r="CS42" s="153"/>
      <c r="CT42" s="153"/>
      <c r="CU42" s="153"/>
      <c r="CV42" s="153"/>
      <c r="CW42" s="153"/>
      <c r="CX42" s="153"/>
      <c r="CY42" s="153"/>
      <c r="CZ42" s="153"/>
      <c r="DA42" s="153"/>
      <c r="DB42" s="153"/>
      <c r="DC42" s="153"/>
      <c r="DD42" s="153"/>
      <c r="DE42" s="153"/>
      <c r="DF42" s="153"/>
      <c r="DG42" s="153"/>
      <c r="DH42" s="153"/>
      <c r="DI42" s="153"/>
      <c r="DJ42" s="153"/>
      <c r="DK42" s="153"/>
      <c r="DL42" s="153"/>
      <c r="DM42" s="153"/>
      <c r="DN42" s="153"/>
      <c r="DO42" s="153"/>
      <c r="DP42" s="153"/>
      <c r="DQ42" s="153"/>
      <c r="DR42" s="153"/>
      <c r="DS42" s="153"/>
      <c r="DT42" s="153"/>
      <c r="DU42" s="153"/>
      <c r="DV42" s="153"/>
      <c r="DW42" s="153"/>
      <c r="DX42" s="153"/>
      <c r="DY42" s="153"/>
      <c r="DZ42" s="153"/>
      <c r="EA42" s="153"/>
      <c r="EB42" s="153"/>
      <c r="EC42" s="153"/>
      <c r="ED42" s="153"/>
      <c r="EE42" s="153"/>
      <c r="EF42" s="153"/>
      <c r="EG42" s="153"/>
      <c r="EH42" s="153"/>
      <c r="EI42" s="153"/>
      <c r="EJ42" s="153"/>
      <c r="EK42" s="153"/>
      <c r="EL42" s="153"/>
      <c r="EM42" s="153"/>
      <c r="EN42" s="153"/>
      <c r="EO42" s="153"/>
      <c r="EP42" s="153"/>
      <c r="EQ42" s="153"/>
      <c r="ER42" s="153"/>
      <c r="ES42" s="153"/>
      <c r="ET42" s="153"/>
      <c r="EU42" s="153"/>
      <c r="EV42" s="153"/>
      <c r="EW42" s="153"/>
      <c r="EX42" s="153"/>
      <c r="EY42" s="153"/>
      <c r="EZ42" s="153"/>
      <c r="FA42" s="153"/>
      <c r="FB42" s="153"/>
      <c r="FC42" s="153"/>
      <c r="FD42" s="153"/>
      <c r="FE42" s="153"/>
      <c r="FF42" s="153"/>
      <c r="FG42" s="153"/>
      <c r="FH42" s="153"/>
      <c r="FI42" s="153"/>
      <c r="FJ42" s="153"/>
      <c r="FK42" s="153"/>
      <c r="FL42" s="153"/>
      <c r="FM42" s="153"/>
      <c r="FN42" s="153"/>
      <c r="FO42" s="153"/>
      <c r="FP42" s="153"/>
      <c r="FQ42" s="153"/>
      <c r="FR42" s="153"/>
      <c r="FS42" s="153"/>
      <c r="FT42" s="153"/>
      <c r="FU42" s="153"/>
      <c r="FV42" s="153"/>
      <c r="FW42" s="153"/>
      <c r="FX42" s="153"/>
      <c r="FY42" s="153"/>
      <c r="FZ42" s="153"/>
      <c r="GA42" s="153"/>
      <c r="GB42" s="153"/>
      <c r="GC42" s="153"/>
      <c r="GD42" s="153"/>
      <c r="GE42" s="153"/>
      <c r="GF42" s="153"/>
      <c r="GG42" s="153"/>
      <c r="GH42" s="153"/>
      <c r="GI42" s="153"/>
      <c r="GJ42" s="153"/>
      <c r="GK42" s="153"/>
      <c r="GL42" s="153"/>
      <c r="GM42" s="153"/>
      <c r="GN42" s="153"/>
      <c r="GO42" s="153"/>
    </row>
    <row r="43" spans="1:197" s="150" customFormat="1" ht="15.5">
      <c r="A43" s="693"/>
      <c r="B43" s="694"/>
      <c r="C43" s="695"/>
      <c r="D43" s="695"/>
      <c r="E43" s="696"/>
      <c r="F43" s="697"/>
      <c r="G43" s="165"/>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c r="CL43" s="153"/>
      <c r="CM43" s="153"/>
      <c r="CN43" s="153"/>
      <c r="CO43" s="153"/>
      <c r="CP43" s="153"/>
      <c r="CQ43" s="153"/>
      <c r="CR43" s="153"/>
      <c r="CS43" s="153"/>
      <c r="CT43" s="153"/>
      <c r="CU43" s="153"/>
      <c r="CV43" s="153"/>
      <c r="CW43" s="153"/>
      <c r="CX43" s="153"/>
      <c r="CY43" s="153"/>
      <c r="CZ43" s="153"/>
      <c r="DA43" s="153"/>
      <c r="DB43" s="153"/>
      <c r="DC43" s="153"/>
      <c r="DD43" s="153"/>
      <c r="DE43" s="153"/>
      <c r="DF43" s="153"/>
      <c r="DG43" s="153"/>
      <c r="DH43" s="153"/>
      <c r="DI43" s="153"/>
      <c r="DJ43" s="153"/>
      <c r="DK43" s="153"/>
      <c r="DL43" s="153"/>
      <c r="DM43" s="153"/>
      <c r="DN43" s="153"/>
      <c r="DO43" s="153"/>
      <c r="DP43" s="153"/>
      <c r="DQ43" s="153"/>
      <c r="DR43" s="153"/>
      <c r="DS43" s="153"/>
      <c r="DT43" s="153"/>
      <c r="DU43" s="153"/>
      <c r="DV43" s="153"/>
      <c r="DW43" s="153"/>
      <c r="DX43" s="153"/>
      <c r="DY43" s="153"/>
      <c r="DZ43" s="153"/>
      <c r="EA43" s="153"/>
      <c r="EB43" s="153"/>
      <c r="EC43" s="153"/>
      <c r="ED43" s="153"/>
      <c r="EE43" s="153"/>
      <c r="EF43" s="153"/>
      <c r="EG43" s="153"/>
      <c r="EH43" s="153"/>
      <c r="EI43" s="153"/>
      <c r="EJ43" s="153"/>
      <c r="EK43" s="153"/>
      <c r="EL43" s="153"/>
      <c r="EM43" s="153"/>
      <c r="EN43" s="153"/>
      <c r="EO43" s="153"/>
      <c r="EP43" s="153"/>
      <c r="EQ43" s="153"/>
      <c r="ER43" s="153"/>
      <c r="ES43" s="153"/>
      <c r="ET43" s="153"/>
      <c r="EU43" s="153"/>
      <c r="EV43" s="153"/>
      <c r="EW43" s="153"/>
      <c r="EX43" s="153"/>
      <c r="EY43" s="153"/>
      <c r="EZ43" s="153"/>
      <c r="FA43" s="153"/>
      <c r="FB43" s="153"/>
      <c r="FC43" s="153"/>
      <c r="FD43" s="153"/>
      <c r="FE43" s="153"/>
      <c r="FF43" s="153"/>
      <c r="FG43" s="153"/>
      <c r="FH43" s="153"/>
      <c r="FI43" s="153"/>
      <c r="FJ43" s="153"/>
      <c r="FK43" s="153"/>
      <c r="FL43" s="153"/>
      <c r="FM43" s="153"/>
      <c r="FN43" s="153"/>
      <c r="FO43" s="153"/>
      <c r="FP43" s="153"/>
      <c r="FQ43" s="153"/>
      <c r="FR43" s="153"/>
      <c r="FS43" s="153"/>
      <c r="FT43" s="153"/>
      <c r="FU43" s="153"/>
      <c r="FV43" s="153"/>
      <c r="FW43" s="153"/>
      <c r="FX43" s="153"/>
      <c r="FY43" s="153"/>
      <c r="FZ43" s="153"/>
      <c r="GA43" s="153"/>
      <c r="GB43" s="153"/>
      <c r="GC43" s="153"/>
      <c r="GD43" s="153"/>
      <c r="GE43" s="153"/>
      <c r="GF43" s="153"/>
      <c r="GG43" s="153"/>
      <c r="GH43" s="153"/>
      <c r="GI43" s="153"/>
      <c r="GJ43" s="153"/>
      <c r="GK43" s="153"/>
      <c r="GL43" s="153"/>
      <c r="GM43" s="153"/>
      <c r="GN43" s="153"/>
      <c r="GO43" s="153"/>
    </row>
    <row r="44" spans="1:197" s="150" customFormat="1" ht="15.5">
      <c r="A44" s="693"/>
      <c r="B44" s="694"/>
      <c r="C44" s="695"/>
      <c r="D44" s="695"/>
      <c r="E44" s="696"/>
      <c r="F44" s="697"/>
      <c r="G44" s="165"/>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153"/>
      <c r="BY44" s="153"/>
      <c r="BZ44" s="153"/>
      <c r="CA44" s="153"/>
      <c r="CB44" s="153"/>
      <c r="CC44" s="153"/>
      <c r="CD44" s="153"/>
      <c r="CE44" s="153"/>
      <c r="CF44" s="153"/>
      <c r="CG44" s="153"/>
      <c r="CH44" s="153"/>
      <c r="CI44" s="153"/>
      <c r="CJ44" s="153"/>
      <c r="CK44" s="153"/>
      <c r="CL44" s="153"/>
      <c r="CM44" s="153"/>
      <c r="CN44" s="153"/>
      <c r="CO44" s="153"/>
      <c r="CP44" s="153"/>
      <c r="CQ44" s="153"/>
      <c r="CR44" s="153"/>
      <c r="CS44" s="153"/>
      <c r="CT44" s="153"/>
      <c r="CU44" s="153"/>
      <c r="CV44" s="153"/>
      <c r="CW44" s="153"/>
      <c r="CX44" s="153"/>
      <c r="CY44" s="153"/>
      <c r="CZ44" s="153"/>
      <c r="DA44" s="153"/>
      <c r="DB44" s="153"/>
      <c r="DC44" s="153"/>
      <c r="DD44" s="153"/>
      <c r="DE44" s="153"/>
      <c r="DF44" s="153"/>
      <c r="DG44" s="153"/>
      <c r="DH44" s="153"/>
      <c r="DI44" s="153"/>
      <c r="DJ44" s="153"/>
      <c r="DK44" s="153"/>
      <c r="DL44" s="153"/>
      <c r="DM44" s="153"/>
      <c r="DN44" s="153"/>
      <c r="DO44" s="153"/>
      <c r="DP44" s="153"/>
      <c r="DQ44" s="153"/>
      <c r="DR44" s="153"/>
      <c r="DS44" s="153"/>
      <c r="DT44" s="153"/>
      <c r="DU44" s="153"/>
      <c r="DV44" s="153"/>
      <c r="DW44" s="153"/>
      <c r="DX44" s="153"/>
      <c r="DY44" s="153"/>
      <c r="DZ44" s="153"/>
      <c r="EA44" s="153"/>
      <c r="EB44" s="153"/>
      <c r="EC44" s="153"/>
      <c r="ED44" s="153"/>
      <c r="EE44" s="153"/>
      <c r="EF44" s="153"/>
      <c r="EG44" s="153"/>
      <c r="EH44" s="153"/>
      <c r="EI44" s="153"/>
      <c r="EJ44" s="153"/>
      <c r="EK44" s="153"/>
      <c r="EL44" s="153"/>
      <c r="EM44" s="153"/>
      <c r="EN44" s="153"/>
      <c r="EO44" s="153"/>
      <c r="EP44" s="153"/>
      <c r="EQ44" s="153"/>
      <c r="ER44" s="153"/>
      <c r="ES44" s="153"/>
      <c r="ET44" s="153"/>
      <c r="EU44" s="153"/>
      <c r="EV44" s="153"/>
      <c r="EW44" s="153"/>
      <c r="EX44" s="153"/>
      <c r="EY44" s="153"/>
      <c r="EZ44" s="153"/>
      <c r="FA44" s="153"/>
      <c r="FB44" s="153"/>
      <c r="FC44" s="153"/>
      <c r="FD44" s="153"/>
      <c r="FE44" s="153"/>
      <c r="FF44" s="153"/>
      <c r="FG44" s="153"/>
      <c r="FH44" s="153"/>
      <c r="FI44" s="153"/>
      <c r="FJ44" s="153"/>
      <c r="FK44" s="153"/>
      <c r="FL44" s="153"/>
      <c r="FM44" s="153"/>
      <c r="FN44" s="153"/>
      <c r="FO44" s="153"/>
      <c r="FP44" s="153"/>
      <c r="FQ44" s="153"/>
      <c r="FR44" s="153"/>
      <c r="FS44" s="153"/>
      <c r="FT44" s="153"/>
      <c r="FU44" s="153"/>
      <c r="FV44" s="153"/>
      <c r="FW44" s="153"/>
      <c r="FX44" s="153"/>
      <c r="FY44" s="153"/>
      <c r="FZ44" s="153"/>
      <c r="GA44" s="153"/>
      <c r="GB44" s="153"/>
      <c r="GC44" s="153"/>
      <c r="GD44" s="153"/>
      <c r="GE44" s="153"/>
      <c r="GF44" s="153"/>
      <c r="GG44" s="153"/>
      <c r="GH44" s="153"/>
      <c r="GI44" s="153"/>
      <c r="GJ44" s="153"/>
      <c r="GK44" s="153"/>
      <c r="GL44" s="153"/>
      <c r="GM44" s="153"/>
      <c r="GN44" s="153"/>
      <c r="GO44" s="153"/>
    </row>
    <row r="45" spans="1:197" s="150" customFormat="1" ht="15.5">
      <c r="A45" s="693"/>
      <c r="B45" s="694"/>
      <c r="C45" s="695"/>
      <c r="D45" s="695"/>
      <c r="E45" s="696"/>
      <c r="F45" s="697"/>
      <c r="G45" s="165"/>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3"/>
      <c r="CN45" s="153"/>
      <c r="CO45" s="153"/>
      <c r="CP45" s="153"/>
      <c r="CQ45" s="153"/>
      <c r="CR45" s="153"/>
      <c r="CS45" s="153"/>
      <c r="CT45" s="153"/>
      <c r="CU45" s="153"/>
      <c r="CV45" s="153"/>
      <c r="CW45" s="153"/>
      <c r="CX45" s="153"/>
      <c r="CY45" s="153"/>
      <c r="CZ45" s="153"/>
      <c r="DA45" s="153"/>
      <c r="DB45" s="153"/>
      <c r="DC45" s="153"/>
      <c r="DD45" s="153"/>
      <c r="DE45" s="153"/>
      <c r="DF45" s="153"/>
      <c r="DG45" s="153"/>
      <c r="DH45" s="153"/>
      <c r="DI45" s="153"/>
      <c r="DJ45" s="153"/>
      <c r="DK45" s="153"/>
      <c r="DL45" s="153"/>
      <c r="DM45" s="153"/>
      <c r="DN45" s="153"/>
      <c r="DO45" s="153"/>
      <c r="DP45" s="153"/>
      <c r="DQ45" s="153"/>
      <c r="DR45" s="153"/>
      <c r="DS45" s="153"/>
      <c r="DT45" s="153"/>
      <c r="DU45" s="153"/>
      <c r="DV45" s="153"/>
      <c r="DW45" s="153"/>
      <c r="DX45" s="153"/>
      <c r="DY45" s="153"/>
      <c r="DZ45" s="153"/>
      <c r="EA45" s="153"/>
      <c r="EB45" s="153"/>
      <c r="EC45" s="153"/>
      <c r="ED45" s="153"/>
      <c r="EE45" s="153"/>
      <c r="EF45" s="153"/>
      <c r="EG45" s="153"/>
      <c r="EH45" s="153"/>
      <c r="EI45" s="153"/>
      <c r="EJ45" s="153"/>
      <c r="EK45" s="153"/>
      <c r="EL45" s="153"/>
      <c r="EM45" s="153"/>
      <c r="EN45" s="153"/>
      <c r="EO45" s="153"/>
      <c r="EP45" s="153"/>
      <c r="EQ45" s="153"/>
      <c r="ER45" s="153"/>
      <c r="ES45" s="153"/>
      <c r="ET45" s="153"/>
      <c r="EU45" s="153"/>
      <c r="EV45" s="153"/>
      <c r="EW45" s="153"/>
      <c r="EX45" s="153"/>
      <c r="EY45" s="153"/>
      <c r="EZ45" s="153"/>
      <c r="FA45" s="153"/>
      <c r="FB45" s="153"/>
      <c r="FC45" s="153"/>
      <c r="FD45" s="153"/>
      <c r="FE45" s="153"/>
      <c r="FF45" s="153"/>
      <c r="FG45" s="153"/>
      <c r="FH45" s="153"/>
      <c r="FI45" s="153"/>
      <c r="FJ45" s="153"/>
      <c r="FK45" s="153"/>
      <c r="FL45" s="153"/>
      <c r="FM45" s="153"/>
      <c r="FN45" s="153"/>
      <c r="FO45" s="153"/>
      <c r="FP45" s="153"/>
      <c r="FQ45" s="153"/>
      <c r="FR45" s="153"/>
      <c r="FS45" s="153"/>
      <c r="FT45" s="153"/>
      <c r="FU45" s="153"/>
      <c r="FV45" s="153"/>
      <c r="FW45" s="153"/>
      <c r="FX45" s="153"/>
      <c r="FY45" s="153"/>
      <c r="FZ45" s="153"/>
      <c r="GA45" s="153"/>
      <c r="GB45" s="153"/>
      <c r="GC45" s="153"/>
      <c r="GD45" s="153"/>
      <c r="GE45" s="153"/>
      <c r="GF45" s="153"/>
      <c r="GG45" s="153"/>
      <c r="GH45" s="153"/>
      <c r="GI45" s="153"/>
      <c r="GJ45" s="153"/>
      <c r="GK45" s="153"/>
      <c r="GL45" s="153"/>
      <c r="GM45" s="153"/>
      <c r="GN45" s="153"/>
      <c r="GO45" s="153"/>
    </row>
    <row r="46" spans="1:197" s="150" customFormat="1" ht="15.5">
      <c r="A46" s="693"/>
      <c r="B46" s="694"/>
      <c r="C46" s="695"/>
      <c r="D46" s="695"/>
      <c r="E46" s="696"/>
      <c r="F46" s="697"/>
      <c r="G46" s="165"/>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c r="CK46" s="153"/>
      <c r="CL46" s="153"/>
      <c r="CM46" s="153"/>
      <c r="CN46" s="153"/>
      <c r="CO46" s="153"/>
      <c r="CP46" s="153"/>
      <c r="CQ46" s="153"/>
      <c r="CR46" s="153"/>
      <c r="CS46" s="153"/>
      <c r="CT46" s="153"/>
      <c r="CU46" s="153"/>
      <c r="CV46" s="153"/>
      <c r="CW46" s="153"/>
      <c r="CX46" s="153"/>
      <c r="CY46" s="153"/>
      <c r="CZ46" s="153"/>
      <c r="DA46" s="153"/>
      <c r="DB46" s="153"/>
      <c r="DC46" s="153"/>
      <c r="DD46" s="153"/>
      <c r="DE46" s="153"/>
      <c r="DF46" s="153"/>
      <c r="DG46" s="153"/>
      <c r="DH46" s="153"/>
      <c r="DI46" s="153"/>
      <c r="DJ46" s="153"/>
      <c r="DK46" s="153"/>
      <c r="DL46" s="153"/>
      <c r="DM46" s="153"/>
      <c r="DN46" s="153"/>
      <c r="DO46" s="153"/>
      <c r="DP46" s="153"/>
      <c r="DQ46" s="153"/>
      <c r="DR46" s="153"/>
      <c r="DS46" s="153"/>
      <c r="DT46" s="153"/>
      <c r="DU46" s="153"/>
      <c r="DV46" s="153"/>
      <c r="DW46" s="153"/>
      <c r="DX46" s="153"/>
      <c r="DY46" s="153"/>
      <c r="DZ46" s="153"/>
      <c r="EA46" s="153"/>
      <c r="EB46" s="153"/>
      <c r="EC46" s="153"/>
      <c r="ED46" s="153"/>
      <c r="EE46" s="153"/>
      <c r="EF46" s="153"/>
      <c r="EG46" s="153"/>
      <c r="EH46" s="153"/>
      <c r="EI46" s="153"/>
      <c r="EJ46" s="153"/>
      <c r="EK46" s="153"/>
      <c r="EL46" s="153"/>
      <c r="EM46" s="153"/>
      <c r="EN46" s="153"/>
      <c r="EO46" s="153"/>
      <c r="EP46" s="153"/>
      <c r="EQ46" s="153"/>
      <c r="ER46" s="153"/>
      <c r="ES46" s="153"/>
      <c r="ET46" s="153"/>
      <c r="EU46" s="153"/>
      <c r="EV46" s="153"/>
      <c r="EW46" s="153"/>
      <c r="EX46" s="153"/>
      <c r="EY46" s="153"/>
      <c r="EZ46" s="153"/>
      <c r="FA46" s="153"/>
      <c r="FB46" s="153"/>
      <c r="FC46" s="153"/>
      <c r="FD46" s="153"/>
      <c r="FE46" s="153"/>
      <c r="FF46" s="153"/>
      <c r="FG46" s="153"/>
      <c r="FH46" s="153"/>
      <c r="FI46" s="153"/>
      <c r="FJ46" s="153"/>
      <c r="FK46" s="153"/>
      <c r="FL46" s="153"/>
      <c r="FM46" s="153"/>
      <c r="FN46" s="153"/>
      <c r="FO46" s="153"/>
      <c r="FP46" s="153"/>
      <c r="FQ46" s="153"/>
      <c r="FR46" s="153"/>
      <c r="FS46" s="153"/>
      <c r="FT46" s="153"/>
      <c r="FU46" s="153"/>
      <c r="FV46" s="153"/>
      <c r="FW46" s="153"/>
      <c r="FX46" s="153"/>
      <c r="FY46" s="153"/>
      <c r="FZ46" s="153"/>
      <c r="GA46" s="153"/>
      <c r="GB46" s="153"/>
      <c r="GC46" s="153"/>
      <c r="GD46" s="153"/>
      <c r="GE46" s="153"/>
      <c r="GF46" s="153"/>
      <c r="GG46" s="153"/>
      <c r="GH46" s="153"/>
      <c r="GI46" s="153"/>
      <c r="GJ46" s="153"/>
      <c r="GK46" s="153"/>
      <c r="GL46" s="153"/>
      <c r="GM46" s="153"/>
      <c r="GN46" s="153"/>
      <c r="GO46" s="153"/>
    </row>
    <row r="47" spans="1:197">
      <c r="A47" s="668" t="s">
        <v>0</v>
      </c>
      <c r="B47" s="669" t="s">
        <v>1</v>
      </c>
      <c r="C47" s="592" t="s">
        <v>2</v>
      </c>
      <c r="D47" s="593" t="s">
        <v>426</v>
      </c>
      <c r="E47" s="594" t="s">
        <v>368</v>
      </c>
      <c r="F47" s="595" t="s">
        <v>472</v>
      </c>
      <c r="G47" s="186"/>
    </row>
    <row r="48" spans="1:197" s="652" customFormat="1">
      <c r="A48" s="634">
        <v>3.2</v>
      </c>
      <c r="B48" s="674" t="s">
        <v>1063</v>
      </c>
      <c r="C48" s="648"/>
      <c r="D48" s="617"/>
      <c r="E48" s="618"/>
      <c r="F48" s="683"/>
    </row>
    <row r="49" spans="1:7" s="652" customFormat="1">
      <c r="A49" s="615"/>
      <c r="B49" s="616"/>
      <c r="C49" s="648"/>
      <c r="D49" s="617"/>
      <c r="E49" s="618"/>
      <c r="F49" s="683"/>
    </row>
    <row r="50" spans="1:7" s="644" customFormat="1">
      <c r="A50" s="681"/>
      <c r="B50" s="649" t="s">
        <v>1064</v>
      </c>
      <c r="C50" s="648"/>
      <c r="D50" s="618"/>
      <c r="E50" s="648"/>
      <c r="F50" s="682"/>
    </row>
    <row r="51" spans="1:7" s="655" customFormat="1">
      <c r="A51" s="758" t="s">
        <v>460</v>
      </c>
      <c r="B51" s="685" t="s">
        <v>1065</v>
      </c>
      <c r="C51" s="686" t="s">
        <v>425</v>
      </c>
      <c r="D51" s="617">
        <v>11</v>
      </c>
      <c r="E51" s="686"/>
      <c r="F51" s="687">
        <f>E51*D51</f>
        <v>0</v>
      </c>
    </row>
    <row r="52" spans="1:7" s="159" customFormat="1" ht="16.5">
      <c r="A52" s="758" t="s">
        <v>489</v>
      </c>
      <c r="B52" s="616" t="s">
        <v>1251</v>
      </c>
      <c r="C52" s="617" t="s">
        <v>608</v>
      </c>
      <c r="D52" s="617">
        <f>D32*0.15</f>
        <v>18.75</v>
      </c>
      <c r="E52" s="618"/>
      <c r="F52" s="619">
        <f>D52*E52</f>
        <v>0</v>
      </c>
    </row>
    <row r="53" spans="1:7" s="644" customFormat="1" ht="17.399999999999999" customHeight="1">
      <c r="A53" s="681"/>
      <c r="B53" s="649" t="s">
        <v>771</v>
      </c>
      <c r="C53" s="648"/>
      <c r="D53" s="618"/>
      <c r="E53" s="648"/>
      <c r="F53" s="682"/>
    </row>
    <row r="54" spans="1:7" s="644" customFormat="1">
      <c r="A54" s="681"/>
      <c r="B54" s="649" t="s">
        <v>772</v>
      </c>
      <c r="C54" s="648"/>
      <c r="D54" s="618"/>
      <c r="E54" s="648"/>
      <c r="F54" s="682"/>
    </row>
    <row r="55" spans="1:7" s="644" customFormat="1">
      <c r="A55" s="681" t="s">
        <v>461</v>
      </c>
      <c r="B55" s="616" t="s">
        <v>1066</v>
      </c>
      <c r="C55" s="648" t="s">
        <v>19</v>
      </c>
      <c r="D55" s="617">
        <v>350</v>
      </c>
      <c r="E55" s="648"/>
      <c r="F55" s="682">
        <f>E55*D55</f>
        <v>0</v>
      </c>
    </row>
    <row r="56" spans="1:7" s="644" customFormat="1">
      <c r="A56" s="681" t="s">
        <v>487</v>
      </c>
      <c r="B56" s="616" t="s">
        <v>1067</v>
      </c>
      <c r="C56" s="648" t="s">
        <v>19</v>
      </c>
      <c r="D56" s="618">
        <v>400</v>
      </c>
      <c r="E56" s="648"/>
      <c r="F56" s="682">
        <f>E56*D56</f>
        <v>0</v>
      </c>
      <c r="G56" s="661"/>
    </row>
    <row r="57" spans="1:7" s="644" customFormat="1">
      <c r="A57" s="681"/>
      <c r="B57" s="674" t="s">
        <v>1068</v>
      </c>
      <c r="C57" s="648"/>
      <c r="D57" s="618"/>
      <c r="E57" s="648"/>
      <c r="F57" s="682"/>
    </row>
    <row r="58" spans="1:7" s="644" customFormat="1">
      <c r="A58" s="681" t="s">
        <v>487</v>
      </c>
      <c r="B58" s="616" t="s">
        <v>1069</v>
      </c>
      <c r="C58" s="648" t="s">
        <v>33</v>
      </c>
      <c r="D58" s="617">
        <v>200</v>
      </c>
      <c r="E58" s="648"/>
      <c r="F58" s="682">
        <f>D58*E58</f>
        <v>0</v>
      </c>
    </row>
    <row r="59" spans="1:7" s="159" customFormat="1">
      <c r="A59" s="681" t="s">
        <v>488</v>
      </c>
      <c r="B59" s="616" t="s">
        <v>1251</v>
      </c>
      <c r="C59" s="617" t="s">
        <v>33</v>
      </c>
      <c r="D59" s="617">
        <f>D20</f>
        <v>0</v>
      </c>
      <c r="E59" s="618"/>
      <c r="F59" s="619">
        <f>D59*E59</f>
        <v>0</v>
      </c>
    </row>
    <row r="60" spans="1:7" s="658" customFormat="1">
      <c r="A60" s="635"/>
      <c r="B60" s="635" t="s">
        <v>1070</v>
      </c>
      <c r="C60" s="639"/>
      <c r="D60" s="688"/>
      <c r="E60" s="639"/>
      <c r="F60" s="689">
        <f>SUM(F48:F58)</f>
        <v>0</v>
      </c>
    </row>
    <row r="61" spans="1:7" s="658" customFormat="1">
      <c r="A61" s="635"/>
      <c r="B61" s="635"/>
      <c r="C61" s="639"/>
      <c r="D61" s="688"/>
      <c r="E61" s="639"/>
      <c r="F61" s="689"/>
    </row>
    <row r="62" spans="1:7" s="644" customFormat="1">
      <c r="A62" s="690">
        <v>3.3</v>
      </c>
      <c r="B62" s="674" t="s">
        <v>1071</v>
      </c>
      <c r="C62" s="648"/>
      <c r="D62" s="618"/>
      <c r="E62" s="648"/>
      <c r="F62" s="682"/>
    </row>
    <row r="63" spans="1:7" s="644" customFormat="1">
      <c r="A63" s="681"/>
      <c r="B63" s="649" t="s">
        <v>1072</v>
      </c>
      <c r="C63" s="648"/>
      <c r="D63" s="618"/>
      <c r="E63" s="648"/>
      <c r="F63" s="682"/>
    </row>
    <row r="64" spans="1:7" s="644" customFormat="1" ht="29">
      <c r="A64" s="681"/>
      <c r="B64" s="691" t="s">
        <v>1073</v>
      </c>
      <c r="C64" s="648"/>
      <c r="D64" s="618"/>
      <c r="E64" s="648"/>
      <c r="F64" s="682"/>
    </row>
    <row r="65" spans="1:197" s="644" customFormat="1">
      <c r="A65" s="681"/>
      <c r="B65" s="649" t="s">
        <v>52</v>
      </c>
      <c r="C65" s="648"/>
      <c r="D65" s="618"/>
      <c r="E65" s="648"/>
      <c r="F65" s="682"/>
    </row>
    <row r="66" spans="1:197" s="644" customFormat="1">
      <c r="A66" s="681"/>
      <c r="B66" s="649" t="s">
        <v>53</v>
      </c>
      <c r="C66" s="648"/>
      <c r="D66" s="618"/>
      <c r="E66" s="648"/>
      <c r="F66" s="682"/>
    </row>
    <row r="67" spans="1:197" s="644" customFormat="1">
      <c r="A67" s="681"/>
      <c r="B67" s="649" t="s">
        <v>54</v>
      </c>
      <c r="C67" s="648"/>
      <c r="D67" s="618"/>
      <c r="E67" s="648"/>
      <c r="F67" s="682"/>
    </row>
    <row r="68" spans="1:197" s="644" customFormat="1">
      <c r="A68" s="681" t="s">
        <v>490</v>
      </c>
      <c r="B68" s="616" t="s">
        <v>1074</v>
      </c>
      <c r="C68" s="648" t="s">
        <v>33</v>
      </c>
      <c r="D68" s="692">
        <v>150</v>
      </c>
      <c r="E68" s="648"/>
      <c r="F68" s="682">
        <f>E68*D68</f>
        <v>0</v>
      </c>
    </row>
    <row r="69" spans="1:197" s="644" customFormat="1">
      <c r="A69" s="681" t="s">
        <v>491</v>
      </c>
      <c r="B69" s="616" t="s">
        <v>1075</v>
      </c>
      <c r="C69" s="648" t="s">
        <v>33</v>
      </c>
      <c r="D69" s="692">
        <v>60</v>
      </c>
      <c r="E69" s="648"/>
      <c r="F69" s="682">
        <f>E69*D69</f>
        <v>0</v>
      </c>
    </row>
    <row r="70" spans="1:197" s="644" customFormat="1">
      <c r="A70" s="681" t="s">
        <v>531</v>
      </c>
      <c r="B70" s="649" t="s">
        <v>1039</v>
      </c>
      <c r="C70" s="648"/>
      <c r="D70" s="618"/>
      <c r="E70" s="648"/>
      <c r="F70" s="682"/>
    </row>
    <row r="71" spans="1:197" s="644" customFormat="1">
      <c r="A71" s="681" t="s">
        <v>532</v>
      </c>
      <c r="B71" s="616" t="s">
        <v>1040</v>
      </c>
      <c r="C71" s="648" t="s">
        <v>50</v>
      </c>
      <c r="D71" s="692">
        <v>70</v>
      </c>
      <c r="E71" s="648"/>
      <c r="F71" s="682">
        <f>E71*D71</f>
        <v>0</v>
      </c>
    </row>
    <row r="72" spans="1:197" s="644" customFormat="1" ht="29">
      <c r="A72" s="681"/>
      <c r="B72" s="635" t="s">
        <v>1076</v>
      </c>
      <c r="C72" s="639"/>
      <c r="D72" s="618"/>
      <c r="E72" s="648"/>
      <c r="F72" s="689">
        <f>SUM(F63:F71)</f>
        <v>0</v>
      </c>
    </row>
    <row r="73" spans="1:197" s="644" customFormat="1">
      <c r="A73" s="681"/>
      <c r="B73" s="635"/>
      <c r="C73" s="639"/>
      <c r="D73" s="618"/>
      <c r="E73" s="648"/>
      <c r="F73" s="689"/>
    </row>
    <row r="74" spans="1:197" s="152" customFormat="1" ht="15.5">
      <c r="A74" s="693">
        <v>3.4</v>
      </c>
      <c r="B74" s="698" t="s">
        <v>1162</v>
      </c>
      <c r="C74" s="699"/>
      <c r="D74" s="699"/>
      <c r="E74" s="700"/>
      <c r="F74" s="701"/>
      <c r="G74" s="164"/>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c r="BX74" s="151"/>
      <c r="BY74" s="151"/>
      <c r="BZ74" s="151"/>
      <c r="CA74" s="151"/>
      <c r="CB74" s="151"/>
      <c r="CC74" s="151"/>
      <c r="CD74" s="151"/>
      <c r="CE74" s="151"/>
      <c r="CF74" s="151"/>
      <c r="CG74" s="151"/>
      <c r="CH74" s="151"/>
      <c r="CI74" s="151"/>
      <c r="CJ74" s="151"/>
      <c r="CK74" s="151"/>
      <c r="CL74" s="151"/>
      <c r="CM74" s="151"/>
      <c r="CN74" s="151"/>
      <c r="CO74" s="151"/>
      <c r="CP74" s="151"/>
      <c r="CQ74" s="151"/>
      <c r="CR74" s="151"/>
      <c r="CS74" s="151"/>
      <c r="CT74" s="151"/>
      <c r="CU74" s="151"/>
      <c r="CV74" s="151"/>
      <c r="CW74" s="151"/>
      <c r="CX74" s="151"/>
      <c r="CY74" s="151"/>
      <c r="CZ74" s="151"/>
      <c r="DA74" s="151"/>
      <c r="DB74" s="151"/>
      <c r="DC74" s="151"/>
      <c r="DD74" s="151"/>
      <c r="DE74" s="151"/>
      <c r="DF74" s="151"/>
      <c r="DG74" s="151"/>
      <c r="DH74" s="151"/>
      <c r="DI74" s="151"/>
      <c r="DJ74" s="151"/>
      <c r="DK74" s="151"/>
      <c r="DL74" s="151"/>
      <c r="DM74" s="151"/>
      <c r="DN74" s="151"/>
      <c r="DO74" s="151"/>
      <c r="DP74" s="151"/>
      <c r="DQ74" s="151"/>
      <c r="DR74" s="151"/>
      <c r="DS74" s="151"/>
      <c r="DT74" s="151"/>
      <c r="DU74" s="151"/>
      <c r="DV74" s="151"/>
      <c r="DW74" s="151"/>
      <c r="DX74" s="151"/>
      <c r="DY74" s="151"/>
      <c r="DZ74" s="151"/>
      <c r="EA74" s="151"/>
      <c r="EB74" s="151"/>
      <c r="EC74" s="151"/>
      <c r="ED74" s="151"/>
      <c r="EE74" s="151"/>
      <c r="EF74" s="151"/>
      <c r="EG74" s="151"/>
      <c r="EH74" s="151"/>
      <c r="EI74" s="151"/>
      <c r="EJ74" s="151"/>
      <c r="EK74" s="151"/>
      <c r="EL74" s="151"/>
      <c r="EM74" s="151"/>
      <c r="EN74" s="151"/>
      <c r="EO74" s="151"/>
      <c r="EP74" s="151"/>
      <c r="EQ74" s="151"/>
      <c r="ER74" s="151"/>
      <c r="ES74" s="151"/>
      <c r="ET74" s="151"/>
      <c r="EU74" s="151"/>
      <c r="EV74" s="151"/>
      <c r="EW74" s="151"/>
      <c r="EX74" s="151"/>
      <c r="EY74" s="151"/>
      <c r="EZ74" s="151"/>
      <c r="FA74" s="151"/>
      <c r="FB74" s="151"/>
      <c r="FC74" s="151"/>
      <c r="FD74" s="151"/>
      <c r="FE74" s="151"/>
      <c r="FF74" s="151"/>
      <c r="FG74" s="151"/>
      <c r="FH74" s="151"/>
      <c r="FI74" s="151"/>
      <c r="FJ74" s="151"/>
      <c r="FK74" s="151"/>
      <c r="FL74" s="151"/>
      <c r="FM74" s="151"/>
      <c r="FN74" s="151"/>
      <c r="FO74" s="151"/>
      <c r="FP74" s="151"/>
      <c r="FQ74" s="151"/>
      <c r="FR74" s="151"/>
      <c r="FS74" s="151"/>
      <c r="FT74" s="151"/>
      <c r="FU74" s="151"/>
      <c r="FV74" s="151"/>
      <c r="FW74" s="151"/>
      <c r="FX74" s="151"/>
      <c r="FY74" s="151"/>
      <c r="FZ74" s="151"/>
      <c r="GA74" s="151"/>
      <c r="GB74" s="151"/>
      <c r="GC74" s="151"/>
      <c r="GD74" s="151"/>
      <c r="GE74" s="151"/>
      <c r="GF74" s="151"/>
      <c r="GG74" s="151"/>
      <c r="GH74" s="151"/>
      <c r="GI74" s="151"/>
      <c r="GJ74" s="151"/>
      <c r="GK74" s="151"/>
      <c r="GL74" s="151"/>
      <c r="GM74" s="151"/>
      <c r="GN74" s="151"/>
      <c r="GO74" s="151"/>
    </row>
    <row r="75" spans="1:197" s="152" customFormat="1" ht="31">
      <c r="A75" s="702" t="s">
        <v>34</v>
      </c>
      <c r="B75" s="703" t="s">
        <v>496</v>
      </c>
      <c r="C75" s="704" t="s">
        <v>34</v>
      </c>
      <c r="D75" s="704"/>
      <c r="E75" s="704"/>
      <c r="F75" s="705"/>
      <c r="G75" s="164"/>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1"/>
      <c r="BQ75" s="151"/>
      <c r="BR75" s="151"/>
      <c r="BS75" s="151"/>
      <c r="BT75" s="151"/>
      <c r="BU75" s="151"/>
      <c r="BV75" s="151"/>
      <c r="BW75" s="151"/>
      <c r="BX75" s="151"/>
      <c r="BY75" s="151"/>
      <c r="BZ75" s="151"/>
      <c r="CA75" s="151"/>
      <c r="CB75" s="151"/>
      <c r="CC75" s="151"/>
      <c r="CD75" s="151"/>
      <c r="CE75" s="151"/>
      <c r="CF75" s="151"/>
      <c r="CG75" s="151"/>
      <c r="CH75" s="151"/>
      <c r="CI75" s="151"/>
      <c r="CJ75" s="151"/>
      <c r="CK75" s="151"/>
      <c r="CL75" s="151"/>
      <c r="CM75" s="151"/>
      <c r="CN75" s="151"/>
      <c r="CO75" s="151"/>
      <c r="CP75" s="151"/>
      <c r="CQ75" s="151"/>
      <c r="CR75" s="151"/>
      <c r="CS75" s="151"/>
      <c r="CT75" s="151"/>
      <c r="CU75" s="151"/>
      <c r="CV75" s="151"/>
      <c r="CW75" s="151"/>
      <c r="CX75" s="151"/>
      <c r="CY75" s="151"/>
      <c r="CZ75" s="151"/>
      <c r="DA75" s="151"/>
      <c r="DB75" s="151"/>
      <c r="DC75" s="151"/>
      <c r="DD75" s="151"/>
      <c r="DE75" s="151"/>
      <c r="DF75" s="151"/>
      <c r="DG75" s="151"/>
      <c r="DH75" s="151"/>
      <c r="DI75" s="151"/>
      <c r="DJ75" s="151"/>
      <c r="DK75" s="151"/>
      <c r="DL75" s="151"/>
      <c r="DM75" s="151"/>
      <c r="DN75" s="151"/>
      <c r="DO75" s="151"/>
      <c r="DP75" s="151"/>
      <c r="DQ75" s="151"/>
      <c r="DR75" s="151"/>
      <c r="DS75" s="151"/>
      <c r="DT75" s="151"/>
      <c r="DU75" s="151"/>
      <c r="DV75" s="151"/>
      <c r="DW75" s="151"/>
      <c r="DX75" s="151"/>
      <c r="DY75" s="151"/>
      <c r="DZ75" s="151"/>
      <c r="EA75" s="151"/>
      <c r="EB75" s="151"/>
      <c r="EC75" s="151"/>
      <c r="ED75" s="151"/>
      <c r="EE75" s="151"/>
      <c r="EF75" s="151"/>
      <c r="EG75" s="151"/>
      <c r="EH75" s="151"/>
      <c r="EI75" s="151"/>
      <c r="EJ75" s="151"/>
      <c r="EK75" s="151"/>
      <c r="EL75" s="151"/>
      <c r="EM75" s="151"/>
      <c r="EN75" s="151"/>
      <c r="EO75" s="151"/>
      <c r="EP75" s="151"/>
      <c r="EQ75" s="151"/>
      <c r="ER75" s="151"/>
      <c r="ES75" s="151"/>
      <c r="ET75" s="151"/>
      <c r="EU75" s="151"/>
      <c r="EV75" s="151"/>
      <c r="EW75" s="151"/>
      <c r="EX75" s="151"/>
      <c r="EY75" s="151"/>
      <c r="EZ75" s="151"/>
      <c r="FA75" s="151"/>
      <c r="FB75" s="151"/>
      <c r="FC75" s="151"/>
      <c r="FD75" s="151"/>
      <c r="FE75" s="151"/>
      <c r="FF75" s="151"/>
      <c r="FG75" s="151"/>
      <c r="FH75" s="151"/>
      <c r="FI75" s="151"/>
      <c r="FJ75" s="151"/>
      <c r="FK75" s="151"/>
      <c r="FL75" s="151"/>
      <c r="FM75" s="151"/>
      <c r="FN75" s="151"/>
      <c r="FO75" s="151"/>
      <c r="FP75" s="151"/>
      <c r="FQ75" s="151"/>
      <c r="FR75" s="151"/>
      <c r="FS75" s="151"/>
      <c r="FT75" s="151"/>
      <c r="FU75" s="151"/>
      <c r="FV75" s="151"/>
      <c r="FW75" s="151"/>
      <c r="FX75" s="151"/>
      <c r="FY75" s="151"/>
      <c r="FZ75" s="151"/>
      <c r="GA75" s="151"/>
      <c r="GB75" s="151"/>
      <c r="GC75" s="151"/>
      <c r="GD75" s="151"/>
      <c r="GE75" s="151"/>
      <c r="GF75" s="151"/>
      <c r="GG75" s="151"/>
      <c r="GH75" s="151"/>
      <c r="GI75" s="151"/>
      <c r="GJ75" s="151"/>
      <c r="GK75" s="151"/>
      <c r="GL75" s="151"/>
      <c r="GM75" s="151"/>
      <c r="GN75" s="151"/>
      <c r="GO75" s="151"/>
    </row>
    <row r="76" spans="1:197" s="152" customFormat="1" ht="31">
      <c r="A76" s="706" t="s">
        <v>492</v>
      </c>
      <c r="B76" s="707" t="s">
        <v>497</v>
      </c>
      <c r="C76" s="606" t="s">
        <v>33</v>
      </c>
      <c r="D76" s="606">
        <f>CEILING(D6*1.4,1)</f>
        <v>175</v>
      </c>
      <c r="E76" s="586"/>
      <c r="F76" s="701">
        <f>D76*E76</f>
        <v>0</v>
      </c>
      <c r="G76" s="164"/>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c r="BX76" s="151"/>
      <c r="BY76" s="151"/>
      <c r="BZ76" s="151"/>
      <c r="CA76" s="151"/>
      <c r="CB76" s="151"/>
      <c r="CC76" s="151"/>
      <c r="CD76" s="151"/>
      <c r="CE76" s="151"/>
      <c r="CF76" s="151"/>
      <c r="CG76" s="151"/>
      <c r="CH76" s="151"/>
      <c r="CI76" s="151"/>
      <c r="CJ76" s="151"/>
      <c r="CK76" s="151"/>
      <c r="CL76" s="151"/>
      <c r="CM76" s="151"/>
      <c r="CN76" s="151"/>
      <c r="CO76" s="151"/>
      <c r="CP76" s="151"/>
      <c r="CQ76" s="151"/>
      <c r="CR76" s="151"/>
      <c r="CS76" s="151"/>
      <c r="CT76" s="151"/>
      <c r="CU76" s="151"/>
      <c r="CV76" s="151"/>
      <c r="CW76" s="151"/>
      <c r="CX76" s="151"/>
      <c r="CY76" s="151"/>
      <c r="CZ76" s="151"/>
      <c r="DA76" s="151"/>
      <c r="DB76" s="151"/>
      <c r="DC76" s="151"/>
      <c r="DD76" s="151"/>
      <c r="DE76" s="151"/>
      <c r="DF76" s="151"/>
      <c r="DG76" s="151"/>
      <c r="DH76" s="151"/>
      <c r="DI76" s="151"/>
      <c r="DJ76" s="151"/>
      <c r="DK76" s="151"/>
      <c r="DL76" s="151"/>
      <c r="DM76" s="151"/>
      <c r="DN76" s="151"/>
      <c r="DO76" s="151"/>
      <c r="DP76" s="151"/>
      <c r="DQ76" s="151"/>
      <c r="DR76" s="151"/>
      <c r="DS76" s="151"/>
      <c r="DT76" s="151"/>
      <c r="DU76" s="151"/>
      <c r="DV76" s="151"/>
      <c r="DW76" s="151"/>
      <c r="DX76" s="151"/>
      <c r="DY76" s="151"/>
      <c r="DZ76" s="151"/>
      <c r="EA76" s="151"/>
      <c r="EB76" s="151"/>
      <c r="EC76" s="151"/>
      <c r="ED76" s="151"/>
      <c r="EE76" s="151"/>
      <c r="EF76" s="151"/>
      <c r="EG76" s="151"/>
      <c r="EH76" s="151"/>
      <c r="EI76" s="151"/>
      <c r="EJ76" s="151"/>
      <c r="EK76" s="151"/>
      <c r="EL76" s="151"/>
      <c r="EM76" s="151"/>
      <c r="EN76" s="151"/>
      <c r="EO76" s="151"/>
      <c r="EP76" s="151"/>
      <c r="EQ76" s="151"/>
      <c r="ER76" s="151"/>
      <c r="ES76" s="151"/>
      <c r="ET76" s="151"/>
      <c r="EU76" s="151"/>
      <c r="EV76" s="151"/>
      <c r="EW76" s="151"/>
      <c r="EX76" s="151"/>
      <c r="EY76" s="151"/>
      <c r="EZ76" s="151"/>
      <c r="FA76" s="151"/>
      <c r="FB76" s="151"/>
      <c r="FC76" s="151"/>
      <c r="FD76" s="151"/>
      <c r="FE76" s="151"/>
      <c r="FF76" s="151"/>
      <c r="FG76" s="151"/>
      <c r="FH76" s="151"/>
      <c r="FI76" s="151"/>
      <c r="FJ76" s="151"/>
      <c r="FK76" s="151"/>
      <c r="FL76" s="151"/>
      <c r="FM76" s="151"/>
      <c r="FN76" s="151"/>
      <c r="FO76" s="151"/>
      <c r="FP76" s="151"/>
      <c r="FQ76" s="151"/>
      <c r="FR76" s="151"/>
      <c r="FS76" s="151"/>
      <c r="FT76" s="151"/>
      <c r="FU76" s="151"/>
      <c r="FV76" s="151"/>
      <c r="FW76" s="151"/>
      <c r="FX76" s="151"/>
      <c r="FY76" s="151"/>
      <c r="FZ76" s="151"/>
      <c r="GA76" s="151"/>
      <c r="GB76" s="151"/>
      <c r="GC76" s="151"/>
      <c r="GD76" s="151"/>
      <c r="GE76" s="151"/>
      <c r="GF76" s="151"/>
      <c r="GG76" s="151"/>
      <c r="GH76" s="151"/>
      <c r="GI76" s="151"/>
      <c r="GJ76" s="151"/>
      <c r="GK76" s="151"/>
      <c r="GL76" s="151"/>
      <c r="GM76" s="151"/>
      <c r="GN76" s="151"/>
      <c r="GO76" s="151"/>
    </row>
    <row r="77" spans="1:197" s="152" customFormat="1" ht="15.5">
      <c r="A77" s="706" t="s">
        <v>493</v>
      </c>
      <c r="B77" s="704" t="s">
        <v>379</v>
      </c>
      <c r="C77" s="617" t="s">
        <v>50</v>
      </c>
      <c r="D77" s="617">
        <f>25*5</f>
        <v>125</v>
      </c>
      <c r="E77" s="618"/>
      <c r="F77" s="701">
        <f t="shared" ref="F77:F84" si="4">D77*E77</f>
        <v>0</v>
      </c>
      <c r="G77" s="164"/>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c r="BI77" s="151"/>
      <c r="BJ77" s="151"/>
      <c r="BK77" s="151"/>
      <c r="BL77" s="151"/>
      <c r="BM77" s="151"/>
      <c r="BN77" s="151"/>
      <c r="BO77" s="151"/>
      <c r="BP77" s="151"/>
      <c r="BQ77" s="151"/>
      <c r="BR77" s="151"/>
      <c r="BS77" s="151"/>
      <c r="BT77" s="151"/>
      <c r="BU77" s="151"/>
      <c r="BV77" s="151"/>
      <c r="BW77" s="151"/>
      <c r="BX77" s="151"/>
      <c r="BY77" s="151"/>
      <c r="BZ77" s="151"/>
      <c r="CA77" s="151"/>
      <c r="CB77" s="151"/>
      <c r="CC77" s="151"/>
      <c r="CD77" s="151"/>
      <c r="CE77" s="151"/>
      <c r="CF77" s="151"/>
      <c r="CG77" s="151"/>
      <c r="CH77" s="151"/>
      <c r="CI77" s="151"/>
      <c r="CJ77" s="151"/>
      <c r="CK77" s="151"/>
      <c r="CL77" s="151"/>
      <c r="CM77" s="151"/>
      <c r="CN77" s="151"/>
      <c r="CO77" s="151"/>
      <c r="CP77" s="151"/>
      <c r="CQ77" s="151"/>
      <c r="CR77" s="151"/>
      <c r="CS77" s="151"/>
      <c r="CT77" s="151"/>
      <c r="CU77" s="151"/>
      <c r="CV77" s="151"/>
      <c r="CW77" s="151"/>
      <c r="CX77" s="151"/>
      <c r="CY77" s="151"/>
      <c r="CZ77" s="151"/>
      <c r="DA77" s="151"/>
      <c r="DB77" s="151"/>
      <c r="DC77" s="151"/>
      <c r="DD77" s="151"/>
      <c r="DE77" s="151"/>
      <c r="DF77" s="151"/>
      <c r="DG77" s="151"/>
      <c r="DH77" s="151"/>
      <c r="DI77" s="151"/>
      <c r="DJ77" s="151"/>
      <c r="DK77" s="151"/>
      <c r="DL77" s="151"/>
      <c r="DM77" s="151"/>
      <c r="DN77" s="151"/>
      <c r="DO77" s="151"/>
      <c r="DP77" s="151"/>
      <c r="DQ77" s="151"/>
      <c r="DR77" s="151"/>
      <c r="DS77" s="151"/>
      <c r="DT77" s="151"/>
      <c r="DU77" s="151"/>
      <c r="DV77" s="151"/>
      <c r="DW77" s="151"/>
      <c r="DX77" s="151"/>
      <c r="DY77" s="151"/>
      <c r="DZ77" s="151"/>
      <c r="EA77" s="151"/>
      <c r="EB77" s="151"/>
      <c r="EC77" s="151"/>
      <c r="ED77" s="151"/>
      <c r="EE77" s="151"/>
      <c r="EF77" s="151"/>
      <c r="EG77" s="151"/>
      <c r="EH77" s="151"/>
      <c r="EI77" s="151"/>
      <c r="EJ77" s="151"/>
      <c r="EK77" s="151"/>
      <c r="EL77" s="151"/>
      <c r="EM77" s="151"/>
      <c r="EN77" s="151"/>
      <c r="EO77" s="151"/>
      <c r="EP77" s="151"/>
      <c r="EQ77" s="151"/>
      <c r="ER77" s="151"/>
      <c r="ES77" s="151"/>
      <c r="ET77" s="151"/>
      <c r="EU77" s="151"/>
      <c r="EV77" s="151"/>
      <c r="EW77" s="151"/>
      <c r="EX77" s="151"/>
      <c r="EY77" s="151"/>
      <c r="EZ77" s="151"/>
      <c r="FA77" s="151"/>
      <c r="FB77" s="151"/>
      <c r="FC77" s="151"/>
      <c r="FD77" s="151"/>
      <c r="FE77" s="151"/>
      <c r="FF77" s="151"/>
      <c r="FG77" s="151"/>
      <c r="FH77" s="151"/>
      <c r="FI77" s="151"/>
      <c r="FJ77" s="151"/>
      <c r="FK77" s="151"/>
      <c r="FL77" s="151"/>
      <c r="FM77" s="151"/>
      <c r="FN77" s="151"/>
      <c r="FO77" s="151"/>
      <c r="FP77" s="151"/>
      <c r="FQ77" s="151"/>
      <c r="FR77" s="151"/>
      <c r="FS77" s="151"/>
      <c r="FT77" s="151"/>
      <c r="FU77" s="151"/>
      <c r="FV77" s="151"/>
      <c r="FW77" s="151"/>
      <c r="FX77" s="151"/>
      <c r="FY77" s="151"/>
      <c r="FZ77" s="151"/>
      <c r="GA77" s="151"/>
      <c r="GB77" s="151"/>
      <c r="GC77" s="151"/>
      <c r="GD77" s="151"/>
      <c r="GE77" s="151"/>
      <c r="GF77" s="151"/>
      <c r="GG77" s="151"/>
      <c r="GH77" s="151"/>
      <c r="GI77" s="151"/>
      <c r="GJ77" s="151"/>
      <c r="GK77" s="151"/>
      <c r="GL77" s="151"/>
      <c r="GM77" s="151"/>
      <c r="GN77" s="151"/>
      <c r="GO77" s="151"/>
    </row>
    <row r="78" spans="1:197" s="152" customFormat="1" ht="15.5">
      <c r="A78" s="706" t="s">
        <v>525</v>
      </c>
      <c r="B78" s="704" t="s">
        <v>380</v>
      </c>
      <c r="C78" s="617" t="s">
        <v>50</v>
      </c>
      <c r="D78" s="617">
        <f>CEILING(13.4*8,1)</f>
        <v>108</v>
      </c>
      <c r="E78" s="618"/>
      <c r="F78" s="701">
        <f t="shared" si="4"/>
        <v>0</v>
      </c>
      <c r="G78" s="164"/>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1"/>
      <c r="BM78" s="151"/>
      <c r="BN78" s="151"/>
      <c r="BO78" s="151"/>
      <c r="BP78" s="151"/>
      <c r="BQ78" s="151"/>
      <c r="BR78" s="151"/>
      <c r="BS78" s="151"/>
      <c r="BT78" s="151"/>
      <c r="BU78" s="151"/>
      <c r="BV78" s="151"/>
      <c r="BW78" s="151"/>
      <c r="BX78" s="151"/>
      <c r="BY78" s="151"/>
      <c r="BZ78" s="151"/>
      <c r="CA78" s="151"/>
      <c r="CB78" s="151"/>
      <c r="CC78" s="151"/>
      <c r="CD78" s="151"/>
      <c r="CE78" s="151"/>
      <c r="CF78" s="151"/>
      <c r="CG78" s="151"/>
      <c r="CH78" s="151"/>
      <c r="CI78" s="151"/>
      <c r="CJ78" s="151"/>
      <c r="CK78" s="151"/>
      <c r="CL78" s="151"/>
      <c r="CM78" s="151"/>
      <c r="CN78" s="151"/>
      <c r="CO78" s="151"/>
      <c r="CP78" s="151"/>
      <c r="CQ78" s="151"/>
      <c r="CR78" s="151"/>
      <c r="CS78" s="151"/>
      <c r="CT78" s="151"/>
      <c r="CU78" s="151"/>
      <c r="CV78" s="151"/>
      <c r="CW78" s="151"/>
      <c r="CX78" s="151"/>
      <c r="CY78" s="151"/>
      <c r="CZ78" s="151"/>
      <c r="DA78" s="151"/>
      <c r="DB78" s="151"/>
      <c r="DC78" s="151"/>
      <c r="DD78" s="151"/>
      <c r="DE78" s="151"/>
      <c r="DF78" s="151"/>
      <c r="DG78" s="151"/>
      <c r="DH78" s="151"/>
      <c r="DI78" s="151"/>
      <c r="DJ78" s="151"/>
      <c r="DK78" s="151"/>
      <c r="DL78" s="151"/>
      <c r="DM78" s="151"/>
      <c r="DN78" s="151"/>
      <c r="DO78" s="151"/>
      <c r="DP78" s="151"/>
      <c r="DQ78" s="151"/>
      <c r="DR78" s="151"/>
      <c r="DS78" s="151"/>
      <c r="DT78" s="151"/>
      <c r="DU78" s="151"/>
      <c r="DV78" s="151"/>
      <c r="DW78" s="151"/>
      <c r="DX78" s="151"/>
      <c r="DY78" s="151"/>
      <c r="DZ78" s="151"/>
      <c r="EA78" s="151"/>
      <c r="EB78" s="151"/>
      <c r="EC78" s="151"/>
      <c r="ED78" s="151"/>
      <c r="EE78" s="151"/>
      <c r="EF78" s="151"/>
      <c r="EG78" s="151"/>
      <c r="EH78" s="151"/>
      <c r="EI78" s="151"/>
      <c r="EJ78" s="151"/>
      <c r="EK78" s="151"/>
      <c r="EL78" s="151"/>
      <c r="EM78" s="151"/>
      <c r="EN78" s="151"/>
      <c r="EO78" s="151"/>
      <c r="EP78" s="151"/>
      <c r="EQ78" s="151"/>
      <c r="ER78" s="151"/>
      <c r="ES78" s="151"/>
      <c r="ET78" s="151"/>
      <c r="EU78" s="151"/>
      <c r="EV78" s="151"/>
      <c r="EW78" s="151"/>
      <c r="EX78" s="151"/>
      <c r="EY78" s="151"/>
      <c r="EZ78" s="151"/>
      <c r="FA78" s="151"/>
      <c r="FB78" s="151"/>
      <c r="FC78" s="151"/>
      <c r="FD78" s="151"/>
      <c r="FE78" s="151"/>
      <c r="FF78" s="151"/>
      <c r="FG78" s="151"/>
      <c r="FH78" s="151"/>
      <c r="FI78" s="151"/>
      <c r="FJ78" s="151"/>
      <c r="FK78" s="151"/>
      <c r="FL78" s="151"/>
      <c r="FM78" s="151"/>
      <c r="FN78" s="151"/>
      <c r="FO78" s="151"/>
      <c r="FP78" s="151"/>
      <c r="FQ78" s="151"/>
      <c r="FR78" s="151"/>
      <c r="FS78" s="151"/>
      <c r="FT78" s="151"/>
      <c r="FU78" s="151"/>
      <c r="FV78" s="151"/>
      <c r="FW78" s="151"/>
      <c r="FX78" s="151"/>
      <c r="FY78" s="151"/>
      <c r="FZ78" s="151"/>
      <c r="GA78" s="151"/>
      <c r="GB78" s="151"/>
      <c r="GC78" s="151"/>
      <c r="GD78" s="151"/>
      <c r="GE78" s="151"/>
      <c r="GF78" s="151"/>
      <c r="GG78" s="151"/>
      <c r="GH78" s="151"/>
      <c r="GI78" s="151"/>
      <c r="GJ78" s="151"/>
      <c r="GK78" s="151"/>
      <c r="GL78" s="151"/>
      <c r="GM78" s="151"/>
      <c r="GN78" s="151"/>
      <c r="GO78" s="151"/>
    </row>
    <row r="79" spans="1:197" s="154" customFormat="1" ht="15.5">
      <c r="A79" s="706" t="s">
        <v>533</v>
      </c>
      <c r="B79" s="704" t="s">
        <v>381</v>
      </c>
      <c r="C79" s="648" t="s">
        <v>50</v>
      </c>
      <c r="D79" s="617">
        <v>70</v>
      </c>
      <c r="E79" s="618"/>
      <c r="F79" s="701">
        <f t="shared" si="4"/>
        <v>0</v>
      </c>
      <c r="G79" s="166"/>
    </row>
    <row r="80" spans="1:197" s="152" customFormat="1" ht="15.5">
      <c r="A80" s="706" t="s">
        <v>526</v>
      </c>
      <c r="B80" s="704" t="s">
        <v>382</v>
      </c>
      <c r="C80" s="606" t="s">
        <v>50</v>
      </c>
      <c r="D80" s="606">
        <v>50</v>
      </c>
      <c r="E80" s="586"/>
      <c r="F80" s="701">
        <f t="shared" si="4"/>
        <v>0</v>
      </c>
      <c r="G80" s="164"/>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BO80" s="151"/>
      <c r="BP80" s="151"/>
      <c r="BQ80" s="151"/>
      <c r="BR80" s="151"/>
      <c r="BS80" s="151"/>
      <c r="BT80" s="151"/>
      <c r="BU80" s="151"/>
      <c r="BV80" s="151"/>
      <c r="BW80" s="151"/>
      <c r="BX80" s="151"/>
      <c r="BY80" s="151"/>
      <c r="BZ80" s="151"/>
      <c r="CA80" s="151"/>
      <c r="CB80" s="151"/>
      <c r="CC80" s="151"/>
      <c r="CD80" s="151"/>
      <c r="CE80" s="151"/>
      <c r="CF80" s="151"/>
      <c r="CG80" s="151"/>
      <c r="CH80" s="151"/>
      <c r="CI80" s="151"/>
      <c r="CJ80" s="151"/>
      <c r="CK80" s="151"/>
      <c r="CL80" s="151"/>
      <c r="CM80" s="151"/>
      <c r="CN80" s="151"/>
      <c r="CO80" s="151"/>
      <c r="CP80" s="151"/>
      <c r="CQ80" s="151"/>
      <c r="CR80" s="151"/>
      <c r="CS80" s="151"/>
      <c r="CT80" s="151"/>
      <c r="CU80" s="151"/>
      <c r="CV80" s="151"/>
      <c r="CW80" s="151"/>
      <c r="CX80" s="151"/>
      <c r="CY80" s="151"/>
      <c r="CZ80" s="151"/>
      <c r="DA80" s="151"/>
      <c r="DB80" s="151"/>
      <c r="DC80" s="151"/>
      <c r="DD80" s="151"/>
      <c r="DE80" s="151"/>
      <c r="DF80" s="151"/>
      <c r="DG80" s="151"/>
      <c r="DH80" s="151"/>
      <c r="DI80" s="151"/>
      <c r="DJ80" s="151"/>
      <c r="DK80" s="151"/>
      <c r="DL80" s="151"/>
      <c r="DM80" s="151"/>
      <c r="DN80" s="151"/>
      <c r="DO80" s="151"/>
      <c r="DP80" s="151"/>
      <c r="DQ80" s="151"/>
      <c r="DR80" s="151"/>
      <c r="DS80" s="151"/>
      <c r="DT80" s="151"/>
      <c r="DU80" s="151"/>
      <c r="DV80" s="151"/>
      <c r="DW80" s="151"/>
      <c r="DX80" s="151"/>
      <c r="DY80" s="151"/>
      <c r="DZ80" s="151"/>
      <c r="EA80" s="151"/>
      <c r="EB80" s="151"/>
      <c r="EC80" s="151"/>
      <c r="ED80" s="151"/>
      <c r="EE80" s="151"/>
      <c r="EF80" s="151"/>
      <c r="EG80" s="151"/>
      <c r="EH80" s="151"/>
      <c r="EI80" s="151"/>
      <c r="EJ80" s="151"/>
      <c r="EK80" s="151"/>
      <c r="EL80" s="151"/>
      <c r="EM80" s="151"/>
      <c r="EN80" s="151"/>
      <c r="EO80" s="151"/>
      <c r="EP80" s="151"/>
      <c r="EQ80" s="151"/>
      <c r="ER80" s="151"/>
      <c r="ES80" s="151"/>
      <c r="ET80" s="151"/>
      <c r="EU80" s="151"/>
      <c r="EV80" s="151"/>
      <c r="EW80" s="151"/>
      <c r="EX80" s="151"/>
      <c r="EY80" s="151"/>
      <c r="EZ80" s="151"/>
      <c r="FA80" s="151"/>
      <c r="FB80" s="151"/>
      <c r="FC80" s="151"/>
      <c r="FD80" s="151"/>
      <c r="FE80" s="151"/>
      <c r="FF80" s="151"/>
      <c r="FG80" s="151"/>
      <c r="FH80" s="151"/>
      <c r="FI80" s="151"/>
      <c r="FJ80" s="151"/>
      <c r="FK80" s="151"/>
      <c r="FL80" s="151"/>
      <c r="FM80" s="151"/>
      <c r="FN80" s="151"/>
      <c r="FO80" s="151"/>
      <c r="FP80" s="151"/>
      <c r="FQ80" s="151"/>
      <c r="FR80" s="151"/>
      <c r="FS80" s="151"/>
      <c r="FT80" s="151"/>
      <c r="FU80" s="151"/>
      <c r="FV80" s="151"/>
      <c r="FW80" s="151"/>
      <c r="FX80" s="151"/>
      <c r="FY80" s="151"/>
      <c r="FZ80" s="151"/>
      <c r="GA80" s="151"/>
      <c r="GB80" s="151"/>
      <c r="GC80" s="151"/>
      <c r="GD80" s="151"/>
      <c r="GE80" s="151"/>
      <c r="GF80" s="151"/>
      <c r="GG80" s="151"/>
      <c r="GH80" s="151"/>
      <c r="GI80" s="151"/>
      <c r="GJ80" s="151"/>
      <c r="GK80" s="151"/>
      <c r="GL80" s="151"/>
      <c r="GM80" s="151"/>
      <c r="GN80" s="151"/>
      <c r="GO80" s="151"/>
    </row>
    <row r="81" spans="1:197" s="154" customFormat="1" ht="15.5">
      <c r="A81" s="706" t="s">
        <v>527</v>
      </c>
      <c r="B81" s="704" t="s">
        <v>383</v>
      </c>
      <c r="C81" s="606" t="s">
        <v>50</v>
      </c>
      <c r="D81" s="606">
        <v>20</v>
      </c>
      <c r="E81" s="586"/>
      <c r="F81" s="701">
        <f t="shared" si="4"/>
        <v>0</v>
      </c>
      <c r="G81" s="166"/>
    </row>
    <row r="82" spans="1:197" s="154" customFormat="1" ht="15.5">
      <c r="A82" s="706" t="s">
        <v>534</v>
      </c>
      <c r="B82" s="704" t="s">
        <v>384</v>
      </c>
      <c r="C82" s="606" t="s">
        <v>50</v>
      </c>
      <c r="D82" s="606">
        <v>6</v>
      </c>
      <c r="E82" s="586"/>
      <c r="F82" s="701">
        <f t="shared" si="4"/>
        <v>0</v>
      </c>
      <c r="G82" s="166"/>
    </row>
    <row r="83" spans="1:197" s="154" customFormat="1" ht="15.5">
      <c r="A83" s="702"/>
      <c r="B83" s="708"/>
      <c r="C83" s="704"/>
      <c r="D83" s="704"/>
      <c r="E83" s="704"/>
      <c r="F83" s="701">
        <f t="shared" si="4"/>
        <v>0</v>
      </c>
      <c r="G83" s="166"/>
    </row>
    <row r="84" spans="1:197" s="154" customFormat="1" ht="15.5">
      <c r="A84" s="702"/>
      <c r="B84" s="708"/>
      <c r="C84" s="704"/>
      <c r="D84" s="704"/>
      <c r="E84" s="704"/>
      <c r="F84" s="701">
        <f t="shared" si="4"/>
        <v>0</v>
      </c>
      <c r="G84" s="166"/>
    </row>
    <row r="85" spans="1:197" s="154" customFormat="1" ht="15.5">
      <c r="A85" s="702"/>
      <c r="B85" s="708" t="s">
        <v>1197</v>
      </c>
      <c r="C85" s="704"/>
      <c r="D85" s="704"/>
      <c r="E85" s="704"/>
      <c r="F85" s="826">
        <f>SUM(F76:F84)</f>
        <v>0</v>
      </c>
      <c r="G85" s="166"/>
    </row>
    <row r="86" spans="1:197" s="154" customFormat="1" ht="15.5">
      <c r="A86" s="702"/>
      <c r="B86" s="708"/>
      <c r="C86" s="704"/>
      <c r="D86" s="704"/>
      <c r="E86" s="704"/>
      <c r="F86" s="826"/>
      <c r="G86" s="166"/>
    </row>
    <row r="87" spans="1:197" s="154" customFormat="1" ht="15.5">
      <c r="A87" s="827" t="s">
        <v>0</v>
      </c>
      <c r="B87" s="823" t="s">
        <v>1</v>
      </c>
      <c r="C87" s="780" t="s">
        <v>2</v>
      </c>
      <c r="D87" s="781" t="s">
        <v>426</v>
      </c>
      <c r="E87" s="782" t="s">
        <v>368</v>
      </c>
      <c r="F87" s="783" t="s">
        <v>472</v>
      </c>
      <c r="G87" s="166"/>
    </row>
    <row r="88" spans="1:197" s="149" customFormat="1" ht="15.5">
      <c r="A88" s="827"/>
      <c r="B88" s="823" t="s">
        <v>456</v>
      </c>
      <c r="C88" s="780"/>
      <c r="D88" s="781"/>
      <c r="E88" s="782"/>
      <c r="F88" s="721">
        <f>F85</f>
        <v>0</v>
      </c>
      <c r="G88" s="159"/>
    </row>
    <row r="89" spans="1:197" s="149" customFormat="1" ht="15.5">
      <c r="A89" s="702" t="s">
        <v>34</v>
      </c>
      <c r="B89" s="708" t="s">
        <v>388</v>
      </c>
      <c r="C89" s="704" t="s">
        <v>34</v>
      </c>
      <c r="D89" s="704" t="s">
        <v>34</v>
      </c>
      <c r="E89" s="704"/>
      <c r="F89" s="709"/>
      <c r="G89" s="159"/>
    </row>
    <row r="90" spans="1:197" s="154" customFormat="1" ht="31">
      <c r="A90" s="706" t="s">
        <v>535</v>
      </c>
      <c r="B90" s="707" t="s">
        <v>522</v>
      </c>
      <c r="C90" s="606" t="s">
        <v>33</v>
      </c>
      <c r="D90" s="606">
        <v>24</v>
      </c>
      <c r="E90" s="586"/>
      <c r="F90" s="612">
        <f>D90*E90</f>
        <v>0</v>
      </c>
      <c r="G90" s="166"/>
    </row>
    <row r="91" spans="1:197" s="152" customFormat="1" ht="31">
      <c r="A91" s="706" t="s">
        <v>536</v>
      </c>
      <c r="B91" s="707" t="s">
        <v>495</v>
      </c>
      <c r="C91" s="617" t="s">
        <v>33</v>
      </c>
      <c r="D91" s="617">
        <f>D90</f>
        <v>24</v>
      </c>
      <c r="E91" s="618"/>
      <c r="F91" s="612">
        <f>D91*E91</f>
        <v>0</v>
      </c>
      <c r="G91" s="164"/>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c r="BX91" s="151"/>
      <c r="BY91" s="151"/>
      <c r="BZ91" s="151"/>
      <c r="CA91" s="151"/>
      <c r="CB91" s="151"/>
      <c r="CC91" s="151"/>
      <c r="CD91" s="151"/>
      <c r="CE91" s="151"/>
      <c r="CF91" s="151"/>
      <c r="CG91" s="151"/>
      <c r="CH91" s="151"/>
      <c r="CI91" s="151"/>
      <c r="CJ91" s="151"/>
      <c r="CK91" s="151"/>
      <c r="CL91" s="151"/>
      <c r="CM91" s="151"/>
      <c r="CN91" s="151"/>
      <c r="CO91" s="151"/>
      <c r="CP91" s="151"/>
      <c r="CQ91" s="151"/>
      <c r="CR91" s="151"/>
      <c r="CS91" s="151"/>
      <c r="CT91" s="151"/>
      <c r="CU91" s="151"/>
      <c r="CV91" s="151"/>
      <c r="CW91" s="151"/>
      <c r="CX91" s="151"/>
      <c r="CY91" s="151"/>
      <c r="CZ91" s="151"/>
      <c r="DA91" s="151"/>
      <c r="DB91" s="151"/>
      <c r="DC91" s="151"/>
      <c r="DD91" s="151"/>
      <c r="DE91" s="151"/>
      <c r="DF91" s="151"/>
      <c r="DG91" s="151"/>
      <c r="DH91" s="151"/>
      <c r="DI91" s="151"/>
      <c r="DJ91" s="151"/>
      <c r="DK91" s="151"/>
      <c r="DL91" s="151"/>
      <c r="DM91" s="151"/>
      <c r="DN91" s="151"/>
      <c r="DO91" s="151"/>
      <c r="DP91" s="151"/>
      <c r="DQ91" s="151"/>
      <c r="DR91" s="151"/>
      <c r="DS91" s="151"/>
      <c r="DT91" s="151"/>
      <c r="DU91" s="151"/>
      <c r="DV91" s="151"/>
      <c r="DW91" s="151"/>
      <c r="DX91" s="151"/>
      <c r="DY91" s="151"/>
      <c r="DZ91" s="151"/>
      <c r="EA91" s="151"/>
      <c r="EB91" s="151"/>
      <c r="EC91" s="151"/>
      <c r="ED91" s="151"/>
      <c r="EE91" s="151"/>
      <c r="EF91" s="151"/>
      <c r="EG91" s="151"/>
      <c r="EH91" s="151"/>
      <c r="EI91" s="151"/>
      <c r="EJ91" s="151"/>
      <c r="EK91" s="151"/>
      <c r="EL91" s="151"/>
      <c r="EM91" s="151"/>
      <c r="EN91" s="151"/>
      <c r="EO91" s="151"/>
      <c r="EP91" s="151"/>
      <c r="EQ91" s="151"/>
      <c r="ER91" s="151"/>
      <c r="ES91" s="151"/>
      <c r="ET91" s="151"/>
      <c r="EU91" s="151"/>
      <c r="EV91" s="151"/>
      <c r="EW91" s="151"/>
      <c r="EX91" s="151"/>
      <c r="EY91" s="151"/>
      <c r="EZ91" s="151"/>
      <c r="FA91" s="151"/>
      <c r="FB91" s="151"/>
      <c r="FC91" s="151"/>
      <c r="FD91" s="151"/>
      <c r="FE91" s="151"/>
      <c r="FF91" s="151"/>
      <c r="FG91" s="151"/>
      <c r="FH91" s="151"/>
      <c r="FI91" s="151"/>
      <c r="FJ91" s="151"/>
      <c r="FK91" s="151"/>
      <c r="FL91" s="151"/>
      <c r="FM91" s="151"/>
      <c r="FN91" s="151"/>
      <c r="FO91" s="151"/>
      <c r="FP91" s="151"/>
      <c r="FQ91" s="151"/>
      <c r="FR91" s="151"/>
      <c r="FS91" s="151"/>
      <c r="FT91" s="151"/>
      <c r="FU91" s="151"/>
      <c r="FV91" s="151"/>
      <c r="FW91" s="151"/>
      <c r="FX91" s="151"/>
      <c r="FY91" s="151"/>
      <c r="FZ91" s="151"/>
      <c r="GA91" s="151"/>
      <c r="GB91" s="151"/>
      <c r="GC91" s="151"/>
      <c r="GD91" s="151"/>
      <c r="GE91" s="151"/>
      <c r="GF91" s="151"/>
      <c r="GG91" s="151"/>
      <c r="GH91" s="151"/>
      <c r="GI91" s="151"/>
      <c r="GJ91" s="151"/>
      <c r="GK91" s="151"/>
      <c r="GL91" s="151"/>
      <c r="GM91" s="151"/>
      <c r="GN91" s="151"/>
      <c r="GO91" s="151"/>
    </row>
    <row r="92" spans="1:197" s="152" customFormat="1" ht="15.5">
      <c r="A92" s="706" t="s">
        <v>1199</v>
      </c>
      <c r="B92" s="704" t="s">
        <v>391</v>
      </c>
      <c r="C92" s="617" t="s">
        <v>50</v>
      </c>
      <c r="D92" s="617">
        <v>43</v>
      </c>
      <c r="E92" s="618"/>
      <c r="F92" s="612">
        <f t="shared" ref="F92:F120" si="5">E92*D92</f>
        <v>0</v>
      </c>
      <c r="G92" s="164"/>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1"/>
      <c r="BQ92" s="151"/>
      <c r="BR92" s="151"/>
      <c r="BS92" s="151"/>
      <c r="BT92" s="151"/>
      <c r="BU92" s="151"/>
      <c r="BV92" s="151"/>
      <c r="BW92" s="151"/>
      <c r="BX92" s="151"/>
      <c r="BY92" s="151"/>
      <c r="BZ92" s="151"/>
      <c r="CA92" s="151"/>
      <c r="CB92" s="151"/>
      <c r="CC92" s="151"/>
      <c r="CD92" s="151"/>
      <c r="CE92" s="151"/>
      <c r="CF92" s="151"/>
      <c r="CG92" s="151"/>
      <c r="CH92" s="151"/>
      <c r="CI92" s="151"/>
      <c r="CJ92" s="151"/>
      <c r="CK92" s="151"/>
      <c r="CL92" s="151"/>
      <c r="CM92" s="151"/>
      <c r="CN92" s="151"/>
      <c r="CO92" s="151"/>
      <c r="CP92" s="151"/>
      <c r="CQ92" s="151"/>
      <c r="CR92" s="151"/>
      <c r="CS92" s="151"/>
      <c r="CT92" s="151"/>
      <c r="CU92" s="151"/>
      <c r="CV92" s="151"/>
      <c r="CW92" s="151"/>
      <c r="CX92" s="151"/>
      <c r="CY92" s="151"/>
      <c r="CZ92" s="151"/>
      <c r="DA92" s="151"/>
      <c r="DB92" s="151"/>
      <c r="DC92" s="151"/>
      <c r="DD92" s="151"/>
      <c r="DE92" s="151"/>
      <c r="DF92" s="151"/>
      <c r="DG92" s="151"/>
      <c r="DH92" s="151"/>
      <c r="DI92" s="151"/>
      <c r="DJ92" s="151"/>
      <c r="DK92" s="151"/>
      <c r="DL92" s="151"/>
      <c r="DM92" s="151"/>
      <c r="DN92" s="151"/>
      <c r="DO92" s="151"/>
      <c r="DP92" s="151"/>
      <c r="DQ92" s="151"/>
      <c r="DR92" s="151"/>
      <c r="DS92" s="151"/>
      <c r="DT92" s="151"/>
      <c r="DU92" s="151"/>
      <c r="DV92" s="151"/>
      <c r="DW92" s="151"/>
      <c r="DX92" s="151"/>
      <c r="DY92" s="151"/>
      <c r="DZ92" s="151"/>
      <c r="EA92" s="151"/>
      <c r="EB92" s="151"/>
      <c r="EC92" s="151"/>
      <c r="ED92" s="151"/>
      <c r="EE92" s="151"/>
      <c r="EF92" s="151"/>
      <c r="EG92" s="151"/>
      <c r="EH92" s="151"/>
      <c r="EI92" s="151"/>
      <c r="EJ92" s="151"/>
      <c r="EK92" s="151"/>
      <c r="EL92" s="151"/>
      <c r="EM92" s="151"/>
      <c r="EN92" s="151"/>
      <c r="EO92" s="151"/>
      <c r="EP92" s="151"/>
      <c r="EQ92" s="151"/>
      <c r="ER92" s="151"/>
      <c r="ES92" s="151"/>
      <c r="ET92" s="151"/>
      <c r="EU92" s="151"/>
      <c r="EV92" s="151"/>
      <c r="EW92" s="151"/>
      <c r="EX92" s="151"/>
      <c r="EY92" s="151"/>
      <c r="EZ92" s="151"/>
      <c r="FA92" s="151"/>
      <c r="FB92" s="151"/>
      <c r="FC92" s="151"/>
      <c r="FD92" s="151"/>
      <c r="FE92" s="151"/>
      <c r="FF92" s="151"/>
      <c r="FG92" s="151"/>
      <c r="FH92" s="151"/>
      <c r="FI92" s="151"/>
      <c r="FJ92" s="151"/>
      <c r="FK92" s="151"/>
      <c r="FL92" s="151"/>
      <c r="FM92" s="151"/>
      <c r="FN92" s="151"/>
      <c r="FO92" s="151"/>
      <c r="FP92" s="151"/>
      <c r="FQ92" s="151"/>
      <c r="FR92" s="151"/>
      <c r="FS92" s="151"/>
      <c r="FT92" s="151"/>
      <c r="FU92" s="151"/>
      <c r="FV92" s="151"/>
      <c r="FW92" s="151"/>
      <c r="FX92" s="151"/>
      <c r="FY92" s="151"/>
      <c r="FZ92" s="151"/>
      <c r="GA92" s="151"/>
      <c r="GB92" s="151"/>
      <c r="GC92" s="151"/>
      <c r="GD92" s="151"/>
      <c r="GE92" s="151"/>
      <c r="GF92" s="151"/>
      <c r="GG92" s="151"/>
      <c r="GH92" s="151"/>
      <c r="GI92" s="151"/>
      <c r="GJ92" s="151"/>
      <c r="GK92" s="151"/>
      <c r="GL92" s="151"/>
      <c r="GM92" s="151"/>
      <c r="GN92" s="151"/>
      <c r="GO92" s="151"/>
    </row>
    <row r="93" spans="1:197" s="154" customFormat="1" ht="15.5">
      <c r="A93" s="800" t="s">
        <v>34</v>
      </c>
      <c r="B93" s="708" t="s">
        <v>395</v>
      </c>
      <c r="C93" s="648" t="s">
        <v>34</v>
      </c>
      <c r="D93" s="617" t="s">
        <v>34</v>
      </c>
      <c r="E93" s="618"/>
      <c r="F93" s="612"/>
      <c r="G93" s="166"/>
    </row>
    <row r="94" spans="1:197" s="154" customFormat="1" ht="31">
      <c r="A94" s="800" t="s">
        <v>1200</v>
      </c>
      <c r="B94" s="704" t="s">
        <v>396</v>
      </c>
      <c r="C94" s="606" t="s">
        <v>50</v>
      </c>
      <c r="D94" s="606">
        <f>D92</f>
        <v>43</v>
      </c>
      <c r="E94" s="586"/>
      <c r="F94" s="612">
        <f t="shared" si="5"/>
        <v>0</v>
      </c>
      <c r="G94" s="166"/>
    </row>
    <row r="95" spans="1:197" s="154" customFormat="1" ht="15.5">
      <c r="A95" s="702" t="s">
        <v>34</v>
      </c>
      <c r="B95" s="708" t="s">
        <v>498</v>
      </c>
      <c r="C95" s="606" t="s">
        <v>34</v>
      </c>
      <c r="D95" s="606" t="s">
        <v>34</v>
      </c>
      <c r="E95" s="586"/>
      <c r="F95" s="612"/>
      <c r="G95" s="166"/>
    </row>
    <row r="96" spans="1:197" s="154" customFormat="1" ht="31">
      <c r="A96" s="702" t="s">
        <v>1201</v>
      </c>
      <c r="B96" s="704" t="s">
        <v>398</v>
      </c>
      <c r="C96" s="606" t="s">
        <v>50</v>
      </c>
      <c r="D96" s="606">
        <v>12</v>
      </c>
      <c r="E96" s="586"/>
      <c r="F96" s="612">
        <f t="shared" si="5"/>
        <v>0</v>
      </c>
      <c r="G96" s="166"/>
    </row>
    <row r="97" spans="1:197" s="154" customFormat="1" ht="15.5">
      <c r="A97" s="702" t="s">
        <v>1202</v>
      </c>
      <c r="B97" s="704" t="s">
        <v>399</v>
      </c>
      <c r="C97" s="606" t="s">
        <v>387</v>
      </c>
      <c r="D97" s="606">
        <v>4</v>
      </c>
      <c r="E97" s="586"/>
      <c r="F97" s="612">
        <f t="shared" si="5"/>
        <v>0</v>
      </c>
      <c r="G97" s="166"/>
    </row>
    <row r="98" spans="1:197" s="154" customFormat="1" ht="15.5">
      <c r="A98" s="702" t="s">
        <v>1203</v>
      </c>
      <c r="B98" s="704" t="s">
        <v>400</v>
      </c>
      <c r="C98" s="617" t="s">
        <v>387</v>
      </c>
      <c r="D98" s="617">
        <f>D97</f>
        <v>4</v>
      </c>
      <c r="E98" s="618"/>
      <c r="F98" s="612">
        <f t="shared" si="5"/>
        <v>0</v>
      </c>
      <c r="G98" s="166"/>
    </row>
    <row r="99" spans="1:197" s="154" customFormat="1" ht="31">
      <c r="A99" s="702" t="s">
        <v>1204</v>
      </c>
      <c r="B99" s="704" t="s">
        <v>401</v>
      </c>
      <c r="C99" s="617" t="s">
        <v>34</v>
      </c>
      <c r="D99" s="617" t="s">
        <v>34</v>
      </c>
      <c r="E99" s="618"/>
      <c r="F99" s="612"/>
      <c r="G99" s="166"/>
    </row>
    <row r="100" spans="1:197" s="154" customFormat="1" ht="15.5">
      <c r="A100" s="702" t="s">
        <v>1205</v>
      </c>
      <c r="B100" s="704" t="s">
        <v>403</v>
      </c>
      <c r="C100" s="648" t="s">
        <v>50</v>
      </c>
      <c r="D100" s="617">
        <f>D94</f>
        <v>43</v>
      </c>
      <c r="E100" s="618"/>
      <c r="F100" s="612">
        <f t="shared" si="5"/>
        <v>0</v>
      </c>
      <c r="G100" s="166"/>
    </row>
    <row r="101" spans="1:197" s="154" customFormat="1" ht="16.25" customHeight="1">
      <c r="A101" s="702" t="s">
        <v>1206</v>
      </c>
      <c r="B101" s="704" t="s">
        <v>404</v>
      </c>
      <c r="C101" s="606" t="s">
        <v>50</v>
      </c>
      <c r="D101" s="606">
        <f>D100</f>
        <v>43</v>
      </c>
      <c r="E101" s="586"/>
      <c r="F101" s="612">
        <f t="shared" si="5"/>
        <v>0</v>
      </c>
      <c r="G101" s="166"/>
    </row>
    <row r="102" spans="1:197" s="155" customFormat="1" ht="16.25" customHeight="1">
      <c r="A102" s="710"/>
      <c r="B102" s="703" t="s">
        <v>1198</v>
      </c>
      <c r="C102" s="613"/>
      <c r="D102" s="613"/>
      <c r="E102" s="602"/>
      <c r="F102" s="605">
        <f>SUM(F88:F101)</f>
        <v>0</v>
      </c>
      <c r="G102" s="167"/>
    </row>
    <row r="103" spans="1:197" s="154" customFormat="1" ht="15.5">
      <c r="A103" s="711"/>
      <c r="B103" s="708"/>
      <c r="C103" s="606"/>
      <c r="D103" s="606"/>
      <c r="E103" s="586"/>
      <c r="F103" s="612">
        <f t="shared" si="5"/>
        <v>0</v>
      </c>
      <c r="G103" s="166"/>
    </row>
    <row r="104" spans="1:197" s="154" customFormat="1" ht="15.5">
      <c r="A104" s="712">
        <v>3.5</v>
      </c>
      <c r="B104" s="698" t="s">
        <v>1168</v>
      </c>
      <c r="C104" s="606"/>
      <c r="D104" s="606"/>
      <c r="E104" s="586"/>
      <c r="F104" s="612">
        <f t="shared" si="5"/>
        <v>0</v>
      </c>
      <c r="G104" s="166"/>
    </row>
    <row r="105" spans="1:197" s="152" customFormat="1" ht="31">
      <c r="A105" s="713" t="s">
        <v>494</v>
      </c>
      <c r="B105" s="704" t="s">
        <v>1083</v>
      </c>
      <c r="C105" s="606" t="s">
        <v>387</v>
      </c>
      <c r="D105" s="606">
        <v>1</v>
      </c>
      <c r="E105" s="586"/>
      <c r="F105" s="612">
        <f t="shared" si="5"/>
        <v>0</v>
      </c>
      <c r="G105" s="164"/>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c r="BI105" s="151"/>
      <c r="BJ105" s="151"/>
      <c r="BK105" s="151"/>
      <c r="BL105" s="151"/>
      <c r="BM105" s="151"/>
      <c r="BN105" s="151"/>
      <c r="BO105" s="151"/>
      <c r="BP105" s="151"/>
      <c r="BQ105" s="151"/>
      <c r="BR105" s="151"/>
      <c r="BS105" s="151"/>
      <c r="BT105" s="151"/>
      <c r="BU105" s="151"/>
      <c r="BV105" s="151"/>
      <c r="BW105" s="151"/>
      <c r="BX105" s="151"/>
      <c r="BY105" s="151"/>
      <c r="BZ105" s="151"/>
      <c r="CA105" s="151"/>
      <c r="CB105" s="151"/>
      <c r="CC105" s="151"/>
      <c r="CD105" s="151"/>
      <c r="CE105" s="151"/>
      <c r="CF105" s="151"/>
      <c r="CG105" s="151"/>
      <c r="CH105" s="151"/>
      <c r="CI105" s="151"/>
      <c r="CJ105" s="151"/>
      <c r="CK105" s="151"/>
      <c r="CL105" s="151"/>
      <c r="CM105" s="151"/>
      <c r="CN105" s="151"/>
      <c r="CO105" s="151"/>
      <c r="CP105" s="151"/>
      <c r="CQ105" s="151"/>
      <c r="CR105" s="151"/>
      <c r="CS105" s="151"/>
      <c r="CT105" s="151"/>
      <c r="CU105" s="151"/>
      <c r="CV105" s="151"/>
      <c r="CW105" s="151"/>
      <c r="CX105" s="151"/>
      <c r="CY105" s="151"/>
      <c r="CZ105" s="151"/>
      <c r="DA105" s="151"/>
      <c r="DB105" s="151"/>
      <c r="DC105" s="151"/>
      <c r="DD105" s="151"/>
      <c r="DE105" s="151"/>
      <c r="DF105" s="151"/>
      <c r="DG105" s="151"/>
      <c r="DH105" s="151"/>
      <c r="DI105" s="151"/>
      <c r="DJ105" s="151"/>
      <c r="DK105" s="151"/>
      <c r="DL105" s="151"/>
      <c r="DM105" s="151"/>
      <c r="DN105" s="151"/>
      <c r="DO105" s="151"/>
      <c r="DP105" s="151"/>
      <c r="DQ105" s="151"/>
      <c r="DR105" s="151"/>
      <c r="DS105" s="151"/>
      <c r="DT105" s="151"/>
      <c r="DU105" s="151"/>
      <c r="DV105" s="151"/>
      <c r="DW105" s="151"/>
      <c r="DX105" s="151"/>
      <c r="DY105" s="151"/>
      <c r="DZ105" s="151"/>
      <c r="EA105" s="151"/>
      <c r="EB105" s="151"/>
      <c r="EC105" s="151"/>
      <c r="ED105" s="151"/>
      <c r="EE105" s="151"/>
      <c r="EF105" s="151"/>
      <c r="EG105" s="151"/>
      <c r="EH105" s="151"/>
      <c r="EI105" s="151"/>
      <c r="EJ105" s="151"/>
      <c r="EK105" s="151"/>
      <c r="EL105" s="151"/>
      <c r="EM105" s="151"/>
      <c r="EN105" s="151"/>
      <c r="EO105" s="151"/>
      <c r="EP105" s="151"/>
      <c r="EQ105" s="151"/>
      <c r="ER105" s="151"/>
      <c r="ES105" s="151"/>
      <c r="ET105" s="151"/>
      <c r="EU105" s="151"/>
      <c r="EV105" s="151"/>
      <c r="EW105" s="151"/>
      <c r="EX105" s="151"/>
      <c r="EY105" s="151"/>
      <c r="EZ105" s="151"/>
      <c r="FA105" s="151"/>
      <c r="FB105" s="151"/>
      <c r="FC105" s="151"/>
      <c r="FD105" s="151"/>
      <c r="FE105" s="151"/>
      <c r="FF105" s="151"/>
      <c r="FG105" s="151"/>
      <c r="FH105" s="151"/>
      <c r="FI105" s="151"/>
      <c r="FJ105" s="151"/>
      <c r="FK105" s="151"/>
      <c r="FL105" s="151"/>
      <c r="FM105" s="151"/>
      <c r="FN105" s="151"/>
      <c r="FO105" s="151"/>
      <c r="FP105" s="151"/>
      <c r="FQ105" s="151"/>
      <c r="FR105" s="151"/>
      <c r="FS105" s="151"/>
      <c r="FT105" s="151"/>
      <c r="FU105" s="151"/>
      <c r="FV105" s="151"/>
      <c r="FW105" s="151"/>
      <c r="FX105" s="151"/>
      <c r="FY105" s="151"/>
      <c r="FZ105" s="151"/>
      <c r="GA105" s="151"/>
      <c r="GB105" s="151"/>
      <c r="GC105" s="151"/>
      <c r="GD105" s="151"/>
      <c r="GE105" s="151"/>
      <c r="GF105" s="151"/>
      <c r="GG105" s="151"/>
      <c r="GH105" s="151"/>
      <c r="GI105" s="151"/>
      <c r="GJ105" s="151"/>
      <c r="GK105" s="151"/>
      <c r="GL105" s="151"/>
      <c r="GM105" s="151"/>
      <c r="GN105" s="151"/>
      <c r="GO105" s="151"/>
    </row>
    <row r="106" spans="1:197" s="152" customFormat="1" ht="31">
      <c r="A106" s="713" t="s">
        <v>1130</v>
      </c>
      <c r="B106" s="704" t="s">
        <v>499</v>
      </c>
      <c r="C106" s="606" t="s">
        <v>5</v>
      </c>
      <c r="D106" s="606">
        <v>2</v>
      </c>
      <c r="E106" s="586"/>
      <c r="F106" s="612">
        <f t="shared" si="5"/>
        <v>0</v>
      </c>
      <c r="G106" s="164"/>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c r="BI106" s="151"/>
      <c r="BJ106" s="151"/>
      <c r="BK106" s="151"/>
      <c r="BL106" s="151"/>
      <c r="BM106" s="151"/>
      <c r="BN106" s="151"/>
      <c r="BO106" s="151"/>
      <c r="BP106" s="151"/>
      <c r="BQ106" s="151"/>
      <c r="BR106" s="151"/>
      <c r="BS106" s="151"/>
      <c r="BT106" s="151"/>
      <c r="BU106" s="151"/>
      <c r="BV106" s="151"/>
      <c r="BW106" s="151"/>
      <c r="BX106" s="151"/>
      <c r="BY106" s="151"/>
      <c r="BZ106" s="151"/>
      <c r="CA106" s="151"/>
      <c r="CB106" s="151"/>
      <c r="CC106" s="151"/>
      <c r="CD106" s="151"/>
      <c r="CE106" s="151"/>
      <c r="CF106" s="151"/>
      <c r="CG106" s="151"/>
      <c r="CH106" s="151"/>
      <c r="CI106" s="151"/>
      <c r="CJ106" s="151"/>
      <c r="CK106" s="151"/>
      <c r="CL106" s="151"/>
      <c r="CM106" s="151"/>
      <c r="CN106" s="151"/>
      <c r="CO106" s="151"/>
      <c r="CP106" s="151"/>
      <c r="CQ106" s="151"/>
      <c r="CR106" s="151"/>
      <c r="CS106" s="151"/>
      <c r="CT106" s="151"/>
      <c r="CU106" s="151"/>
      <c r="CV106" s="151"/>
      <c r="CW106" s="151"/>
      <c r="CX106" s="151"/>
      <c r="CY106" s="151"/>
      <c r="CZ106" s="151"/>
      <c r="DA106" s="151"/>
      <c r="DB106" s="151"/>
      <c r="DC106" s="151"/>
      <c r="DD106" s="151"/>
      <c r="DE106" s="151"/>
      <c r="DF106" s="151"/>
      <c r="DG106" s="151"/>
      <c r="DH106" s="151"/>
      <c r="DI106" s="151"/>
      <c r="DJ106" s="151"/>
      <c r="DK106" s="151"/>
      <c r="DL106" s="151"/>
      <c r="DM106" s="151"/>
      <c r="DN106" s="151"/>
      <c r="DO106" s="151"/>
      <c r="DP106" s="151"/>
      <c r="DQ106" s="151"/>
      <c r="DR106" s="151"/>
      <c r="DS106" s="151"/>
      <c r="DT106" s="151"/>
      <c r="DU106" s="151"/>
      <c r="DV106" s="151"/>
      <c r="DW106" s="151"/>
      <c r="DX106" s="151"/>
      <c r="DY106" s="151"/>
      <c r="DZ106" s="151"/>
      <c r="EA106" s="151"/>
      <c r="EB106" s="151"/>
      <c r="EC106" s="151"/>
      <c r="ED106" s="151"/>
      <c r="EE106" s="151"/>
      <c r="EF106" s="151"/>
      <c r="EG106" s="151"/>
      <c r="EH106" s="151"/>
      <c r="EI106" s="151"/>
      <c r="EJ106" s="151"/>
      <c r="EK106" s="151"/>
      <c r="EL106" s="151"/>
      <c r="EM106" s="151"/>
      <c r="EN106" s="151"/>
      <c r="EO106" s="151"/>
      <c r="EP106" s="151"/>
      <c r="EQ106" s="151"/>
      <c r="ER106" s="151"/>
      <c r="ES106" s="151"/>
      <c r="ET106" s="151"/>
      <c r="EU106" s="151"/>
      <c r="EV106" s="151"/>
      <c r="EW106" s="151"/>
      <c r="EX106" s="151"/>
      <c r="EY106" s="151"/>
      <c r="EZ106" s="151"/>
      <c r="FA106" s="151"/>
      <c r="FB106" s="151"/>
      <c r="FC106" s="151"/>
      <c r="FD106" s="151"/>
      <c r="FE106" s="151"/>
      <c r="FF106" s="151"/>
      <c r="FG106" s="151"/>
      <c r="FH106" s="151"/>
      <c r="FI106" s="151"/>
      <c r="FJ106" s="151"/>
      <c r="FK106" s="151"/>
      <c r="FL106" s="151"/>
      <c r="FM106" s="151"/>
      <c r="FN106" s="151"/>
      <c r="FO106" s="151"/>
      <c r="FP106" s="151"/>
      <c r="FQ106" s="151"/>
      <c r="FR106" s="151"/>
      <c r="FS106" s="151"/>
      <c r="FT106" s="151"/>
      <c r="FU106" s="151"/>
      <c r="FV106" s="151"/>
      <c r="FW106" s="151"/>
      <c r="FX106" s="151"/>
      <c r="FY106" s="151"/>
      <c r="FZ106" s="151"/>
      <c r="GA106" s="151"/>
      <c r="GB106" s="151"/>
      <c r="GC106" s="151"/>
      <c r="GD106" s="151"/>
      <c r="GE106" s="151"/>
      <c r="GF106" s="151"/>
      <c r="GG106" s="151"/>
      <c r="GH106" s="151"/>
      <c r="GI106" s="151"/>
      <c r="GJ106" s="151"/>
      <c r="GK106" s="151"/>
      <c r="GL106" s="151"/>
      <c r="GM106" s="151"/>
      <c r="GN106" s="151"/>
      <c r="GO106" s="151"/>
    </row>
    <row r="107" spans="1:197" s="154" customFormat="1" ht="31">
      <c r="A107" s="713" t="s">
        <v>1131</v>
      </c>
      <c r="B107" s="704" t="s">
        <v>500</v>
      </c>
      <c r="C107" s="617" t="s">
        <v>50</v>
      </c>
      <c r="D107" s="617">
        <v>20</v>
      </c>
      <c r="E107" s="618"/>
      <c r="F107" s="612">
        <f t="shared" si="5"/>
        <v>0</v>
      </c>
      <c r="G107" s="166"/>
    </row>
    <row r="108" spans="1:197" s="154" customFormat="1" ht="15.5">
      <c r="A108" s="713" t="s">
        <v>1133</v>
      </c>
      <c r="B108" s="704" t="s">
        <v>501</v>
      </c>
      <c r="C108" s="617" t="s">
        <v>50</v>
      </c>
      <c r="D108" s="617">
        <f>D107*2</f>
        <v>40</v>
      </c>
      <c r="E108" s="618"/>
      <c r="F108" s="612">
        <f t="shared" si="5"/>
        <v>0</v>
      </c>
      <c r="G108" s="166"/>
    </row>
    <row r="109" spans="1:197" s="154" customFormat="1" ht="15.5">
      <c r="A109" s="713" t="s">
        <v>1135</v>
      </c>
      <c r="B109" s="704" t="s">
        <v>502</v>
      </c>
      <c r="C109" s="648" t="s">
        <v>50</v>
      </c>
      <c r="D109" s="617">
        <f>D108</f>
        <v>40</v>
      </c>
      <c r="E109" s="618"/>
      <c r="F109" s="612">
        <f t="shared" si="5"/>
        <v>0</v>
      </c>
      <c r="G109" s="166"/>
    </row>
    <row r="110" spans="1:197" s="154" customFormat="1" ht="15.5">
      <c r="A110" s="713" t="s">
        <v>34</v>
      </c>
      <c r="B110" s="708" t="s">
        <v>503</v>
      </c>
      <c r="C110" s="606" t="s">
        <v>34</v>
      </c>
      <c r="D110" s="606" t="s">
        <v>34</v>
      </c>
      <c r="E110" s="586"/>
      <c r="F110" s="612"/>
      <c r="G110" s="166"/>
    </row>
    <row r="111" spans="1:197" s="154" customFormat="1" ht="31">
      <c r="A111" s="713" t="s">
        <v>1138</v>
      </c>
      <c r="B111" s="704" t="s">
        <v>504</v>
      </c>
      <c r="C111" s="606" t="s">
        <v>34</v>
      </c>
      <c r="D111" s="606" t="s">
        <v>34</v>
      </c>
      <c r="E111" s="586"/>
      <c r="F111" s="612"/>
      <c r="G111" s="166"/>
    </row>
    <row r="112" spans="1:197" s="154" customFormat="1" ht="15.5">
      <c r="A112" s="713" t="s">
        <v>1141</v>
      </c>
      <c r="B112" s="704" t="s">
        <v>505</v>
      </c>
      <c r="C112" s="606" t="s">
        <v>387</v>
      </c>
      <c r="D112" s="606">
        <v>3</v>
      </c>
      <c r="E112" s="586"/>
      <c r="F112" s="612">
        <f t="shared" si="5"/>
        <v>0</v>
      </c>
      <c r="G112" s="166"/>
    </row>
    <row r="113" spans="1:197" s="154" customFormat="1" ht="15.5">
      <c r="A113" s="713" t="s">
        <v>1142</v>
      </c>
      <c r="B113" s="704" t="s">
        <v>506</v>
      </c>
      <c r="C113" s="606" t="s">
        <v>507</v>
      </c>
      <c r="D113" s="606">
        <f>4*1.5</f>
        <v>6</v>
      </c>
      <c r="E113" s="586"/>
      <c r="F113" s="612">
        <f t="shared" si="5"/>
        <v>0</v>
      </c>
      <c r="G113" s="166"/>
    </row>
    <row r="114" spans="1:197" s="154" customFormat="1" ht="15.5">
      <c r="A114" s="713" t="s">
        <v>1207</v>
      </c>
      <c r="B114" s="704" t="s">
        <v>508</v>
      </c>
      <c r="C114" s="617" t="s">
        <v>387</v>
      </c>
      <c r="D114" s="617">
        <v>4</v>
      </c>
      <c r="E114" s="618"/>
      <c r="F114" s="612">
        <f t="shared" si="5"/>
        <v>0</v>
      </c>
      <c r="G114" s="166"/>
    </row>
    <row r="115" spans="1:197" s="154" customFormat="1" ht="15.5">
      <c r="A115" s="713" t="s">
        <v>34</v>
      </c>
      <c r="B115" s="708" t="s">
        <v>509</v>
      </c>
      <c r="C115" s="617" t="s">
        <v>34</v>
      </c>
      <c r="D115" s="617" t="s">
        <v>34</v>
      </c>
      <c r="E115" s="618"/>
      <c r="F115" s="612"/>
      <c r="G115" s="166"/>
    </row>
    <row r="116" spans="1:197" s="154" customFormat="1" ht="31">
      <c r="A116" s="713" t="s">
        <v>1208</v>
      </c>
      <c r="B116" s="704" t="s">
        <v>510</v>
      </c>
      <c r="C116" s="648" t="s">
        <v>146</v>
      </c>
      <c r="D116" s="617" t="s">
        <v>439</v>
      </c>
      <c r="E116" s="618"/>
      <c r="F116" s="612">
        <f>E116</f>
        <v>0</v>
      </c>
      <c r="G116" s="166"/>
    </row>
    <row r="117" spans="1:197" s="155" customFormat="1" ht="15.5">
      <c r="A117" s="714"/>
      <c r="B117" s="703" t="s">
        <v>1209</v>
      </c>
      <c r="C117" s="639"/>
      <c r="D117" s="715"/>
      <c r="E117" s="688"/>
      <c r="F117" s="605">
        <f>SUM(F105:F116)</f>
        <v>0</v>
      </c>
      <c r="G117" s="167"/>
    </row>
    <row r="118" spans="1:197" s="154" customFormat="1" ht="15.5">
      <c r="A118" s="713"/>
      <c r="B118" s="704"/>
      <c r="C118" s="648"/>
      <c r="D118" s="617"/>
      <c r="E118" s="618"/>
      <c r="F118" s="612"/>
      <c r="G118" s="166"/>
    </row>
    <row r="119" spans="1:197" s="154" customFormat="1" ht="15.5">
      <c r="A119" s="693">
        <v>3.6</v>
      </c>
      <c r="B119" s="698" t="s">
        <v>1177</v>
      </c>
      <c r="C119" s="606"/>
      <c r="D119" s="606"/>
      <c r="E119" s="586"/>
      <c r="F119" s="612"/>
      <c r="G119" s="166"/>
    </row>
    <row r="120" spans="1:197" s="150" customFormat="1" ht="39" customHeight="1">
      <c r="A120" s="706" t="s">
        <v>528</v>
      </c>
      <c r="B120" s="707" t="s">
        <v>511</v>
      </c>
      <c r="C120" s="606" t="s">
        <v>12</v>
      </c>
      <c r="D120" s="606">
        <v>8</v>
      </c>
      <c r="E120" s="586"/>
      <c r="F120" s="612">
        <f t="shared" si="5"/>
        <v>0</v>
      </c>
      <c r="G120" s="165"/>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153"/>
      <c r="BY120" s="153"/>
      <c r="BZ120" s="153"/>
      <c r="CA120" s="153"/>
      <c r="CB120" s="153"/>
      <c r="CC120" s="153"/>
      <c r="CD120" s="153"/>
      <c r="CE120" s="153"/>
      <c r="CF120" s="153"/>
      <c r="CG120" s="153"/>
      <c r="CH120" s="153"/>
      <c r="CI120" s="153"/>
      <c r="CJ120" s="153"/>
      <c r="CK120" s="153"/>
      <c r="CL120" s="153"/>
      <c r="CM120" s="153"/>
      <c r="CN120" s="153"/>
      <c r="CO120" s="153"/>
      <c r="CP120" s="153"/>
      <c r="CQ120" s="153"/>
      <c r="CR120" s="153"/>
      <c r="CS120" s="153"/>
      <c r="CT120" s="153"/>
      <c r="CU120" s="153"/>
      <c r="CV120" s="153"/>
      <c r="CW120" s="153"/>
      <c r="CX120" s="153"/>
      <c r="CY120" s="153"/>
      <c r="CZ120" s="153"/>
      <c r="DA120" s="153"/>
      <c r="DB120" s="153"/>
      <c r="DC120" s="153"/>
      <c r="DD120" s="153"/>
      <c r="DE120" s="153"/>
      <c r="DF120" s="153"/>
      <c r="DG120" s="153"/>
      <c r="DH120" s="153"/>
      <c r="DI120" s="153"/>
      <c r="DJ120" s="153"/>
      <c r="DK120" s="153"/>
      <c r="DL120" s="153"/>
      <c r="DM120" s="153"/>
      <c r="DN120" s="153"/>
      <c r="DO120" s="153"/>
      <c r="DP120" s="153"/>
      <c r="DQ120" s="153"/>
      <c r="DR120" s="153"/>
      <c r="DS120" s="153"/>
      <c r="DT120" s="153"/>
      <c r="DU120" s="153"/>
      <c r="DV120" s="153"/>
      <c r="DW120" s="153"/>
      <c r="DX120" s="153"/>
      <c r="DY120" s="153"/>
      <c r="DZ120" s="153"/>
      <c r="EA120" s="153"/>
      <c r="EB120" s="153"/>
      <c r="EC120" s="153"/>
      <c r="ED120" s="153"/>
      <c r="EE120" s="153"/>
      <c r="EF120" s="153"/>
      <c r="EG120" s="153"/>
      <c r="EH120" s="153"/>
      <c r="EI120" s="153"/>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c r="FL120" s="153"/>
      <c r="FM120" s="153"/>
      <c r="FN120" s="153"/>
      <c r="FO120" s="153"/>
      <c r="FP120" s="153"/>
      <c r="FQ120" s="153"/>
      <c r="FR120" s="153"/>
      <c r="FS120" s="153"/>
      <c r="FT120" s="153"/>
      <c r="FU120" s="153"/>
      <c r="FV120" s="153"/>
      <c r="FW120" s="153"/>
      <c r="FX120" s="153"/>
      <c r="FY120" s="153"/>
      <c r="FZ120" s="153"/>
      <c r="GA120" s="153"/>
      <c r="GB120" s="153"/>
      <c r="GC120" s="153"/>
      <c r="GD120" s="153"/>
      <c r="GE120" s="153"/>
      <c r="GF120" s="153"/>
      <c r="GG120" s="153"/>
      <c r="GH120" s="153"/>
      <c r="GI120" s="153"/>
      <c r="GJ120" s="153"/>
      <c r="GK120" s="153"/>
      <c r="GL120" s="153"/>
      <c r="GM120" s="153"/>
      <c r="GN120" s="153"/>
      <c r="GO120" s="153"/>
    </row>
    <row r="121" spans="1:197" s="150" customFormat="1" ht="15.5">
      <c r="A121" s="693"/>
      <c r="B121" s="694" t="s">
        <v>1210</v>
      </c>
      <c r="C121" s="613"/>
      <c r="D121" s="613"/>
      <c r="E121" s="602"/>
      <c r="F121" s="605">
        <f>SUM(F120)</f>
        <v>0</v>
      </c>
      <c r="G121" s="165"/>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c r="BJ121" s="153"/>
      <c r="BK121" s="153"/>
      <c r="BL121" s="153"/>
      <c r="BM121" s="153"/>
      <c r="BN121" s="153"/>
      <c r="BO121" s="153"/>
      <c r="BP121" s="153"/>
      <c r="BQ121" s="153"/>
      <c r="BR121" s="153"/>
      <c r="BS121" s="153"/>
      <c r="BT121" s="153"/>
      <c r="BU121" s="153"/>
      <c r="BV121" s="153"/>
      <c r="BW121" s="153"/>
      <c r="BX121" s="153"/>
      <c r="BY121" s="153"/>
      <c r="BZ121" s="153"/>
      <c r="CA121" s="153"/>
      <c r="CB121" s="153"/>
      <c r="CC121" s="153"/>
      <c r="CD121" s="153"/>
      <c r="CE121" s="153"/>
      <c r="CF121" s="153"/>
      <c r="CG121" s="153"/>
      <c r="CH121" s="153"/>
      <c r="CI121" s="153"/>
      <c r="CJ121" s="153"/>
      <c r="CK121" s="153"/>
      <c r="CL121" s="153"/>
      <c r="CM121" s="153"/>
      <c r="CN121" s="153"/>
      <c r="CO121" s="153"/>
      <c r="CP121" s="153"/>
      <c r="CQ121" s="153"/>
      <c r="CR121" s="153"/>
      <c r="CS121" s="153"/>
      <c r="CT121" s="153"/>
      <c r="CU121" s="153"/>
      <c r="CV121" s="153"/>
      <c r="CW121" s="153"/>
      <c r="CX121" s="153"/>
      <c r="CY121" s="153"/>
      <c r="CZ121" s="153"/>
      <c r="DA121" s="153"/>
      <c r="DB121" s="153"/>
      <c r="DC121" s="153"/>
      <c r="DD121" s="153"/>
      <c r="DE121" s="153"/>
      <c r="DF121" s="153"/>
      <c r="DG121" s="153"/>
      <c r="DH121" s="153"/>
      <c r="DI121" s="153"/>
      <c r="DJ121" s="153"/>
      <c r="DK121" s="153"/>
      <c r="DL121" s="153"/>
      <c r="DM121" s="153"/>
      <c r="DN121" s="153"/>
      <c r="DO121" s="153"/>
      <c r="DP121" s="153"/>
      <c r="DQ121" s="153"/>
      <c r="DR121" s="153"/>
      <c r="DS121" s="153"/>
      <c r="DT121" s="153"/>
      <c r="DU121" s="153"/>
      <c r="DV121" s="153"/>
      <c r="DW121" s="153"/>
      <c r="DX121" s="153"/>
      <c r="DY121" s="153"/>
      <c r="DZ121" s="153"/>
      <c r="EA121" s="153"/>
      <c r="EB121" s="153"/>
      <c r="EC121" s="153"/>
      <c r="ED121" s="153"/>
      <c r="EE121" s="153"/>
      <c r="EF121" s="153"/>
      <c r="EG121" s="153"/>
      <c r="EH121" s="153"/>
      <c r="EI121" s="153"/>
      <c r="EJ121" s="153"/>
      <c r="EK121" s="153"/>
      <c r="EL121" s="153"/>
      <c r="EM121" s="153"/>
      <c r="EN121" s="153"/>
      <c r="EO121" s="153"/>
      <c r="EP121" s="153"/>
      <c r="EQ121" s="153"/>
      <c r="ER121" s="153"/>
      <c r="ES121" s="153"/>
      <c r="ET121" s="153"/>
      <c r="EU121" s="153"/>
      <c r="EV121" s="153"/>
      <c r="EW121" s="153"/>
      <c r="EX121" s="153"/>
      <c r="EY121" s="153"/>
      <c r="EZ121" s="153"/>
      <c r="FA121" s="153"/>
      <c r="FB121" s="153"/>
      <c r="FC121" s="153"/>
      <c r="FD121" s="153"/>
      <c r="FE121" s="153"/>
      <c r="FF121" s="153"/>
      <c r="FG121" s="153"/>
      <c r="FH121" s="153"/>
      <c r="FI121" s="153"/>
      <c r="FJ121" s="153"/>
      <c r="FK121" s="153"/>
      <c r="FL121" s="153"/>
      <c r="FM121" s="153"/>
      <c r="FN121" s="153"/>
      <c r="FO121" s="153"/>
      <c r="FP121" s="153"/>
      <c r="FQ121" s="153"/>
      <c r="FR121" s="153"/>
      <c r="FS121" s="153"/>
      <c r="FT121" s="153"/>
      <c r="FU121" s="153"/>
      <c r="FV121" s="153"/>
      <c r="FW121" s="153"/>
      <c r="FX121" s="153"/>
      <c r="FY121" s="153"/>
      <c r="FZ121" s="153"/>
      <c r="GA121" s="153"/>
      <c r="GB121" s="153"/>
      <c r="GC121" s="153"/>
      <c r="GD121" s="153"/>
      <c r="GE121" s="153"/>
      <c r="GF121" s="153"/>
      <c r="GG121" s="153"/>
      <c r="GH121" s="153"/>
      <c r="GI121" s="153"/>
      <c r="GJ121" s="153"/>
      <c r="GK121" s="153"/>
      <c r="GL121" s="153"/>
      <c r="GM121" s="153"/>
      <c r="GN121" s="153"/>
      <c r="GO121" s="153"/>
    </row>
    <row r="122" spans="1:197" s="150" customFormat="1" ht="15.5">
      <c r="A122" s="704"/>
      <c r="B122" s="704"/>
      <c r="C122" s="704"/>
      <c r="D122" s="704"/>
      <c r="E122" s="704"/>
      <c r="F122" s="704"/>
      <c r="G122" s="165"/>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c r="BI122" s="153"/>
      <c r="BJ122" s="153"/>
      <c r="BK122" s="153"/>
      <c r="BL122" s="153"/>
      <c r="BM122" s="153"/>
      <c r="BN122" s="153"/>
      <c r="BO122" s="153"/>
      <c r="BP122" s="153"/>
      <c r="BQ122" s="153"/>
      <c r="BR122" s="153"/>
      <c r="BS122" s="153"/>
      <c r="BT122" s="153"/>
      <c r="BU122" s="153"/>
      <c r="BV122" s="153"/>
      <c r="BW122" s="153"/>
      <c r="BX122" s="153"/>
      <c r="BY122" s="153"/>
      <c r="BZ122" s="153"/>
      <c r="CA122" s="153"/>
      <c r="CB122" s="153"/>
      <c r="CC122" s="153"/>
      <c r="CD122" s="153"/>
      <c r="CE122" s="153"/>
      <c r="CF122" s="153"/>
      <c r="CG122" s="153"/>
      <c r="CH122" s="153"/>
      <c r="CI122" s="153"/>
      <c r="CJ122" s="153"/>
      <c r="CK122" s="153"/>
      <c r="CL122" s="153"/>
      <c r="CM122" s="153"/>
      <c r="CN122" s="153"/>
      <c r="CO122" s="153"/>
      <c r="CP122" s="153"/>
      <c r="CQ122" s="153"/>
      <c r="CR122" s="153"/>
      <c r="CS122" s="153"/>
      <c r="CT122" s="153"/>
      <c r="CU122" s="153"/>
      <c r="CV122" s="153"/>
      <c r="CW122" s="153"/>
      <c r="CX122" s="153"/>
      <c r="CY122" s="153"/>
      <c r="CZ122" s="153"/>
      <c r="DA122" s="153"/>
      <c r="DB122" s="153"/>
      <c r="DC122" s="153"/>
      <c r="DD122" s="153"/>
      <c r="DE122" s="153"/>
      <c r="DF122" s="153"/>
      <c r="DG122" s="153"/>
      <c r="DH122" s="153"/>
      <c r="DI122" s="153"/>
      <c r="DJ122" s="153"/>
      <c r="DK122" s="153"/>
      <c r="DL122" s="153"/>
      <c r="DM122" s="153"/>
      <c r="DN122" s="153"/>
      <c r="DO122" s="153"/>
      <c r="DP122" s="153"/>
      <c r="DQ122" s="153"/>
      <c r="DR122" s="153"/>
      <c r="DS122" s="153"/>
      <c r="DT122" s="153"/>
      <c r="DU122" s="153"/>
      <c r="DV122" s="153"/>
      <c r="DW122" s="153"/>
      <c r="DX122" s="153"/>
      <c r="DY122" s="153"/>
      <c r="DZ122" s="153"/>
      <c r="EA122" s="153"/>
      <c r="EB122" s="153"/>
      <c r="EC122" s="153"/>
      <c r="ED122" s="153"/>
      <c r="EE122" s="153"/>
      <c r="EF122" s="153"/>
      <c r="EG122" s="153"/>
      <c r="EH122" s="153"/>
      <c r="EI122" s="153"/>
      <c r="EJ122" s="153"/>
      <c r="EK122" s="153"/>
      <c r="EL122" s="153"/>
      <c r="EM122" s="153"/>
      <c r="EN122" s="153"/>
      <c r="EO122" s="153"/>
      <c r="EP122" s="153"/>
      <c r="EQ122" s="153"/>
      <c r="ER122" s="153"/>
      <c r="ES122" s="153"/>
      <c r="ET122" s="153"/>
      <c r="EU122" s="153"/>
      <c r="EV122" s="153"/>
      <c r="EW122" s="153"/>
      <c r="EX122" s="153"/>
      <c r="EY122" s="153"/>
      <c r="EZ122" s="153"/>
      <c r="FA122" s="153"/>
      <c r="FB122" s="153"/>
      <c r="FC122" s="153"/>
      <c r="FD122" s="153"/>
      <c r="FE122" s="153"/>
      <c r="FF122" s="153"/>
      <c r="FG122" s="153"/>
      <c r="FH122" s="153"/>
      <c r="FI122" s="153"/>
      <c r="FJ122" s="153"/>
      <c r="FK122" s="153"/>
      <c r="FL122" s="153"/>
      <c r="FM122" s="153"/>
      <c r="FN122" s="153"/>
      <c r="FO122" s="153"/>
      <c r="FP122" s="153"/>
      <c r="FQ122" s="153"/>
      <c r="FR122" s="153"/>
      <c r="FS122" s="153"/>
      <c r="FT122" s="153"/>
      <c r="FU122" s="153"/>
      <c r="FV122" s="153"/>
      <c r="FW122" s="153"/>
      <c r="FX122" s="153"/>
      <c r="FY122" s="153"/>
      <c r="FZ122" s="153"/>
      <c r="GA122" s="153"/>
      <c r="GB122" s="153"/>
      <c r="GC122" s="153"/>
      <c r="GD122" s="153"/>
      <c r="GE122" s="153"/>
      <c r="GF122" s="153"/>
      <c r="GG122" s="153"/>
      <c r="GH122" s="153"/>
      <c r="GI122" s="153"/>
      <c r="GJ122" s="153"/>
      <c r="GK122" s="153"/>
      <c r="GL122" s="153"/>
      <c r="GM122" s="153"/>
      <c r="GN122" s="153"/>
      <c r="GO122" s="153"/>
    </row>
    <row r="123" spans="1:197" s="150" customFormat="1" ht="15.5">
      <c r="A123" s="704"/>
      <c r="B123" s="704"/>
      <c r="C123" s="704"/>
      <c r="D123" s="704"/>
      <c r="E123" s="704"/>
      <c r="F123" s="704"/>
      <c r="G123" s="165"/>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c r="BI123" s="153"/>
      <c r="BJ123" s="153"/>
      <c r="BK123" s="153"/>
      <c r="BL123" s="153"/>
      <c r="BM123" s="153"/>
      <c r="BN123" s="153"/>
      <c r="BO123" s="153"/>
      <c r="BP123" s="153"/>
      <c r="BQ123" s="153"/>
      <c r="BR123" s="153"/>
      <c r="BS123" s="153"/>
      <c r="BT123" s="153"/>
      <c r="BU123" s="153"/>
      <c r="BV123" s="153"/>
      <c r="BW123" s="153"/>
      <c r="BX123" s="153"/>
      <c r="BY123" s="153"/>
      <c r="BZ123" s="153"/>
      <c r="CA123" s="153"/>
      <c r="CB123" s="153"/>
      <c r="CC123" s="153"/>
      <c r="CD123" s="153"/>
      <c r="CE123" s="153"/>
      <c r="CF123" s="153"/>
      <c r="CG123" s="153"/>
      <c r="CH123" s="153"/>
      <c r="CI123" s="153"/>
      <c r="CJ123" s="153"/>
      <c r="CK123" s="153"/>
      <c r="CL123" s="153"/>
      <c r="CM123" s="153"/>
      <c r="CN123" s="153"/>
      <c r="CO123" s="153"/>
      <c r="CP123" s="153"/>
      <c r="CQ123" s="153"/>
      <c r="CR123" s="153"/>
      <c r="CS123" s="153"/>
      <c r="CT123" s="153"/>
      <c r="CU123" s="153"/>
      <c r="CV123" s="153"/>
      <c r="CW123" s="153"/>
      <c r="CX123" s="153"/>
      <c r="CY123" s="153"/>
      <c r="CZ123" s="153"/>
      <c r="DA123" s="153"/>
      <c r="DB123" s="153"/>
      <c r="DC123" s="153"/>
      <c r="DD123" s="153"/>
      <c r="DE123" s="153"/>
      <c r="DF123" s="153"/>
      <c r="DG123" s="153"/>
      <c r="DH123" s="153"/>
      <c r="DI123" s="153"/>
      <c r="DJ123" s="153"/>
      <c r="DK123" s="153"/>
      <c r="DL123" s="153"/>
      <c r="DM123" s="153"/>
      <c r="DN123" s="153"/>
      <c r="DO123" s="153"/>
      <c r="DP123" s="153"/>
      <c r="DQ123" s="153"/>
      <c r="DR123" s="153"/>
      <c r="DS123" s="153"/>
      <c r="DT123" s="153"/>
      <c r="DU123" s="153"/>
      <c r="DV123" s="153"/>
      <c r="DW123" s="153"/>
      <c r="DX123" s="153"/>
      <c r="DY123" s="153"/>
      <c r="DZ123" s="153"/>
      <c r="EA123" s="153"/>
      <c r="EB123" s="153"/>
      <c r="EC123" s="153"/>
      <c r="ED123" s="153"/>
      <c r="EE123" s="153"/>
      <c r="EF123" s="153"/>
      <c r="EG123" s="153"/>
      <c r="EH123" s="153"/>
      <c r="EI123" s="153"/>
      <c r="EJ123" s="153"/>
      <c r="EK123" s="153"/>
      <c r="EL123" s="153"/>
      <c r="EM123" s="153"/>
      <c r="EN123" s="153"/>
      <c r="EO123" s="153"/>
      <c r="EP123" s="153"/>
      <c r="EQ123" s="153"/>
      <c r="ER123" s="153"/>
      <c r="ES123" s="153"/>
      <c r="ET123" s="153"/>
      <c r="EU123" s="153"/>
      <c r="EV123" s="153"/>
      <c r="EW123" s="153"/>
      <c r="EX123" s="153"/>
      <c r="EY123" s="153"/>
      <c r="EZ123" s="153"/>
      <c r="FA123" s="153"/>
      <c r="FB123" s="153"/>
      <c r="FC123" s="153"/>
      <c r="FD123" s="153"/>
      <c r="FE123" s="153"/>
      <c r="FF123" s="153"/>
      <c r="FG123" s="153"/>
      <c r="FH123" s="153"/>
      <c r="FI123" s="153"/>
      <c r="FJ123" s="153"/>
      <c r="FK123" s="153"/>
      <c r="FL123" s="153"/>
      <c r="FM123" s="153"/>
      <c r="FN123" s="153"/>
      <c r="FO123" s="153"/>
      <c r="FP123" s="153"/>
      <c r="FQ123" s="153"/>
      <c r="FR123" s="153"/>
      <c r="FS123" s="153"/>
      <c r="FT123" s="153"/>
      <c r="FU123" s="153"/>
      <c r="FV123" s="153"/>
      <c r="FW123" s="153"/>
      <c r="FX123" s="153"/>
      <c r="FY123" s="153"/>
      <c r="FZ123" s="153"/>
      <c r="GA123" s="153"/>
      <c r="GB123" s="153"/>
      <c r="GC123" s="153"/>
      <c r="GD123" s="153"/>
      <c r="GE123" s="153"/>
      <c r="GF123" s="153"/>
      <c r="GG123" s="153"/>
      <c r="GH123" s="153"/>
      <c r="GI123" s="153"/>
      <c r="GJ123" s="153"/>
      <c r="GK123" s="153"/>
      <c r="GL123" s="153"/>
      <c r="GM123" s="153"/>
      <c r="GN123" s="153"/>
      <c r="GO123" s="153"/>
    </row>
    <row r="124" spans="1:197" s="150" customFormat="1" ht="15.5">
      <c r="A124" s="704"/>
      <c r="B124" s="704"/>
      <c r="C124" s="704"/>
      <c r="D124" s="704"/>
      <c r="E124" s="704"/>
      <c r="F124" s="704"/>
      <c r="G124" s="165"/>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3"/>
      <c r="BQ124" s="153"/>
      <c r="BR124" s="153"/>
      <c r="BS124" s="153"/>
      <c r="BT124" s="153"/>
      <c r="BU124" s="153"/>
      <c r="BV124" s="153"/>
      <c r="BW124" s="153"/>
      <c r="BX124" s="153"/>
      <c r="BY124" s="153"/>
      <c r="BZ124" s="153"/>
      <c r="CA124" s="153"/>
      <c r="CB124" s="153"/>
      <c r="CC124" s="153"/>
      <c r="CD124" s="153"/>
      <c r="CE124" s="153"/>
      <c r="CF124" s="153"/>
      <c r="CG124" s="153"/>
      <c r="CH124" s="153"/>
      <c r="CI124" s="153"/>
      <c r="CJ124" s="153"/>
      <c r="CK124" s="153"/>
      <c r="CL124" s="153"/>
      <c r="CM124" s="153"/>
      <c r="CN124" s="153"/>
      <c r="CO124" s="153"/>
      <c r="CP124" s="153"/>
      <c r="CQ124" s="153"/>
      <c r="CR124" s="153"/>
      <c r="CS124" s="153"/>
      <c r="CT124" s="153"/>
      <c r="CU124" s="153"/>
      <c r="CV124" s="153"/>
      <c r="CW124" s="153"/>
      <c r="CX124" s="153"/>
      <c r="CY124" s="153"/>
      <c r="CZ124" s="153"/>
      <c r="DA124" s="153"/>
      <c r="DB124" s="153"/>
      <c r="DC124" s="153"/>
      <c r="DD124" s="153"/>
      <c r="DE124" s="153"/>
      <c r="DF124" s="153"/>
      <c r="DG124" s="153"/>
      <c r="DH124" s="153"/>
      <c r="DI124" s="153"/>
      <c r="DJ124" s="153"/>
      <c r="DK124" s="153"/>
      <c r="DL124" s="153"/>
      <c r="DM124" s="153"/>
      <c r="DN124" s="153"/>
      <c r="DO124" s="153"/>
      <c r="DP124" s="153"/>
      <c r="DQ124" s="153"/>
      <c r="DR124" s="153"/>
      <c r="DS124" s="153"/>
      <c r="DT124" s="153"/>
      <c r="DU124" s="153"/>
      <c r="DV124" s="153"/>
      <c r="DW124" s="153"/>
      <c r="DX124" s="153"/>
      <c r="DY124" s="153"/>
      <c r="DZ124" s="153"/>
      <c r="EA124" s="153"/>
      <c r="EB124" s="153"/>
      <c r="EC124" s="153"/>
      <c r="ED124" s="153"/>
      <c r="EE124" s="153"/>
      <c r="EF124" s="153"/>
      <c r="EG124" s="153"/>
      <c r="EH124" s="153"/>
      <c r="EI124" s="153"/>
      <c r="EJ124" s="153"/>
      <c r="EK124" s="153"/>
      <c r="EL124" s="153"/>
      <c r="EM124" s="153"/>
      <c r="EN124" s="153"/>
      <c r="EO124" s="153"/>
      <c r="EP124" s="153"/>
      <c r="EQ124" s="153"/>
      <c r="ER124" s="153"/>
      <c r="ES124" s="153"/>
      <c r="ET124" s="153"/>
      <c r="EU124" s="153"/>
      <c r="EV124" s="153"/>
      <c r="EW124" s="153"/>
      <c r="EX124" s="153"/>
      <c r="EY124" s="153"/>
      <c r="EZ124" s="153"/>
      <c r="FA124" s="153"/>
      <c r="FB124" s="153"/>
      <c r="FC124" s="153"/>
      <c r="FD124" s="153"/>
      <c r="FE124" s="153"/>
      <c r="FF124" s="153"/>
      <c r="FG124" s="153"/>
      <c r="FH124" s="153"/>
      <c r="FI124" s="153"/>
      <c r="FJ124" s="153"/>
      <c r="FK124" s="153"/>
      <c r="FL124" s="153"/>
      <c r="FM124" s="153"/>
      <c r="FN124" s="153"/>
      <c r="FO124" s="153"/>
      <c r="FP124" s="153"/>
      <c r="FQ124" s="153"/>
      <c r="FR124" s="153"/>
      <c r="FS124" s="153"/>
      <c r="FT124" s="153"/>
      <c r="FU124" s="153"/>
      <c r="FV124" s="153"/>
      <c r="FW124" s="153"/>
      <c r="FX124" s="153"/>
      <c r="FY124" s="153"/>
      <c r="FZ124" s="153"/>
      <c r="GA124" s="153"/>
      <c r="GB124" s="153"/>
      <c r="GC124" s="153"/>
      <c r="GD124" s="153"/>
      <c r="GE124" s="153"/>
      <c r="GF124" s="153"/>
      <c r="GG124" s="153"/>
      <c r="GH124" s="153"/>
      <c r="GI124" s="153"/>
      <c r="GJ124" s="153"/>
      <c r="GK124" s="153"/>
      <c r="GL124" s="153"/>
      <c r="GM124" s="153"/>
      <c r="GN124" s="153"/>
      <c r="GO124" s="153"/>
    </row>
    <row r="125" spans="1:197" s="150" customFormat="1" ht="15.5">
      <c r="A125" s="704"/>
      <c r="B125" s="704"/>
      <c r="C125" s="704"/>
      <c r="D125" s="704"/>
      <c r="E125" s="704"/>
      <c r="F125" s="704"/>
      <c r="G125" s="165"/>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3"/>
      <c r="BQ125" s="153"/>
      <c r="BR125" s="153"/>
      <c r="BS125" s="153"/>
      <c r="BT125" s="153"/>
      <c r="BU125" s="153"/>
      <c r="BV125" s="153"/>
      <c r="BW125" s="153"/>
      <c r="BX125" s="153"/>
      <c r="BY125" s="153"/>
      <c r="BZ125" s="153"/>
      <c r="CA125" s="153"/>
      <c r="CB125" s="153"/>
      <c r="CC125" s="153"/>
      <c r="CD125" s="153"/>
      <c r="CE125" s="153"/>
      <c r="CF125" s="153"/>
      <c r="CG125" s="153"/>
      <c r="CH125" s="153"/>
      <c r="CI125" s="153"/>
      <c r="CJ125" s="153"/>
      <c r="CK125" s="153"/>
      <c r="CL125" s="153"/>
      <c r="CM125" s="153"/>
      <c r="CN125" s="153"/>
      <c r="CO125" s="153"/>
      <c r="CP125" s="153"/>
      <c r="CQ125" s="153"/>
      <c r="CR125" s="153"/>
      <c r="CS125" s="153"/>
      <c r="CT125" s="153"/>
      <c r="CU125" s="153"/>
      <c r="CV125" s="153"/>
      <c r="CW125" s="153"/>
      <c r="CX125" s="153"/>
      <c r="CY125" s="153"/>
      <c r="CZ125" s="153"/>
      <c r="DA125" s="153"/>
      <c r="DB125" s="153"/>
      <c r="DC125" s="153"/>
      <c r="DD125" s="153"/>
      <c r="DE125" s="153"/>
      <c r="DF125" s="153"/>
      <c r="DG125" s="153"/>
      <c r="DH125" s="153"/>
      <c r="DI125" s="153"/>
      <c r="DJ125" s="153"/>
      <c r="DK125" s="153"/>
      <c r="DL125" s="153"/>
      <c r="DM125" s="153"/>
      <c r="DN125" s="153"/>
      <c r="DO125" s="153"/>
      <c r="DP125" s="153"/>
      <c r="DQ125" s="153"/>
      <c r="DR125" s="153"/>
      <c r="DS125" s="153"/>
      <c r="DT125" s="153"/>
      <c r="DU125" s="153"/>
      <c r="DV125" s="153"/>
      <c r="DW125" s="153"/>
      <c r="DX125" s="153"/>
      <c r="DY125" s="153"/>
      <c r="DZ125" s="153"/>
      <c r="EA125" s="153"/>
      <c r="EB125" s="153"/>
      <c r="EC125" s="153"/>
      <c r="ED125" s="153"/>
      <c r="EE125" s="153"/>
      <c r="EF125" s="153"/>
      <c r="EG125" s="153"/>
      <c r="EH125" s="153"/>
      <c r="EI125" s="153"/>
      <c r="EJ125" s="153"/>
      <c r="EK125" s="153"/>
      <c r="EL125" s="153"/>
      <c r="EM125" s="153"/>
      <c r="EN125" s="153"/>
      <c r="EO125" s="153"/>
      <c r="EP125" s="153"/>
      <c r="EQ125" s="153"/>
      <c r="ER125" s="153"/>
      <c r="ES125" s="153"/>
      <c r="ET125" s="153"/>
      <c r="EU125" s="153"/>
      <c r="EV125" s="153"/>
      <c r="EW125" s="153"/>
      <c r="EX125" s="153"/>
      <c r="EY125" s="153"/>
      <c r="EZ125" s="153"/>
      <c r="FA125" s="153"/>
      <c r="FB125" s="153"/>
      <c r="FC125" s="153"/>
      <c r="FD125" s="153"/>
      <c r="FE125" s="153"/>
      <c r="FF125" s="153"/>
      <c r="FG125" s="153"/>
      <c r="FH125" s="153"/>
      <c r="FI125" s="153"/>
      <c r="FJ125" s="153"/>
      <c r="FK125" s="153"/>
      <c r="FL125" s="153"/>
      <c r="FM125" s="153"/>
      <c r="FN125" s="153"/>
      <c r="FO125" s="153"/>
      <c r="FP125" s="153"/>
      <c r="FQ125" s="153"/>
      <c r="FR125" s="153"/>
      <c r="FS125" s="153"/>
      <c r="FT125" s="153"/>
      <c r="FU125" s="153"/>
      <c r="FV125" s="153"/>
      <c r="FW125" s="153"/>
      <c r="FX125" s="153"/>
      <c r="FY125" s="153"/>
      <c r="FZ125" s="153"/>
      <c r="GA125" s="153"/>
      <c r="GB125" s="153"/>
      <c r="GC125" s="153"/>
      <c r="GD125" s="153"/>
      <c r="GE125" s="153"/>
      <c r="GF125" s="153"/>
      <c r="GG125" s="153"/>
      <c r="GH125" s="153"/>
      <c r="GI125" s="153"/>
      <c r="GJ125" s="153"/>
      <c r="GK125" s="153"/>
      <c r="GL125" s="153"/>
      <c r="GM125" s="153"/>
      <c r="GN125" s="153"/>
      <c r="GO125" s="153"/>
    </row>
    <row r="126" spans="1:197" s="150" customFormat="1" ht="15.5">
      <c r="A126" s="704"/>
      <c r="B126" s="704"/>
      <c r="C126" s="704"/>
      <c r="D126" s="704"/>
      <c r="E126" s="704"/>
      <c r="F126" s="704"/>
      <c r="G126" s="165"/>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c r="BI126" s="153"/>
      <c r="BJ126" s="153"/>
      <c r="BK126" s="153"/>
      <c r="BL126" s="153"/>
      <c r="BM126" s="153"/>
      <c r="BN126" s="153"/>
      <c r="BO126" s="153"/>
      <c r="BP126" s="153"/>
      <c r="BQ126" s="153"/>
      <c r="BR126" s="153"/>
      <c r="BS126" s="153"/>
      <c r="BT126" s="153"/>
      <c r="BU126" s="153"/>
      <c r="BV126" s="153"/>
      <c r="BW126" s="153"/>
      <c r="BX126" s="153"/>
      <c r="BY126" s="153"/>
      <c r="BZ126" s="153"/>
      <c r="CA126" s="153"/>
      <c r="CB126" s="153"/>
      <c r="CC126" s="153"/>
      <c r="CD126" s="153"/>
      <c r="CE126" s="153"/>
      <c r="CF126" s="153"/>
      <c r="CG126" s="153"/>
      <c r="CH126" s="153"/>
      <c r="CI126" s="153"/>
      <c r="CJ126" s="153"/>
      <c r="CK126" s="153"/>
      <c r="CL126" s="153"/>
      <c r="CM126" s="153"/>
      <c r="CN126" s="153"/>
      <c r="CO126" s="153"/>
      <c r="CP126" s="153"/>
      <c r="CQ126" s="153"/>
      <c r="CR126" s="153"/>
      <c r="CS126" s="153"/>
      <c r="CT126" s="153"/>
      <c r="CU126" s="153"/>
      <c r="CV126" s="153"/>
      <c r="CW126" s="153"/>
      <c r="CX126" s="153"/>
      <c r="CY126" s="153"/>
      <c r="CZ126" s="153"/>
      <c r="DA126" s="153"/>
      <c r="DB126" s="153"/>
      <c r="DC126" s="153"/>
      <c r="DD126" s="153"/>
      <c r="DE126" s="153"/>
      <c r="DF126" s="153"/>
      <c r="DG126" s="153"/>
      <c r="DH126" s="153"/>
      <c r="DI126" s="153"/>
      <c r="DJ126" s="153"/>
      <c r="DK126" s="153"/>
      <c r="DL126" s="153"/>
      <c r="DM126" s="153"/>
      <c r="DN126" s="153"/>
      <c r="DO126" s="153"/>
      <c r="DP126" s="153"/>
      <c r="DQ126" s="153"/>
      <c r="DR126" s="153"/>
      <c r="DS126" s="153"/>
      <c r="DT126" s="153"/>
      <c r="DU126" s="153"/>
      <c r="DV126" s="153"/>
      <c r="DW126" s="153"/>
      <c r="DX126" s="153"/>
      <c r="DY126" s="153"/>
      <c r="DZ126" s="153"/>
      <c r="EA126" s="153"/>
      <c r="EB126" s="153"/>
      <c r="EC126" s="153"/>
      <c r="ED126" s="153"/>
      <c r="EE126" s="153"/>
      <c r="EF126" s="153"/>
      <c r="EG126" s="153"/>
      <c r="EH126" s="153"/>
      <c r="EI126" s="153"/>
      <c r="EJ126" s="153"/>
      <c r="EK126" s="153"/>
      <c r="EL126" s="153"/>
      <c r="EM126" s="153"/>
      <c r="EN126" s="153"/>
      <c r="EO126" s="153"/>
      <c r="EP126" s="153"/>
      <c r="EQ126" s="153"/>
      <c r="ER126" s="153"/>
      <c r="ES126" s="153"/>
      <c r="ET126" s="153"/>
      <c r="EU126" s="153"/>
      <c r="EV126" s="153"/>
      <c r="EW126" s="153"/>
      <c r="EX126" s="153"/>
      <c r="EY126" s="153"/>
      <c r="EZ126" s="153"/>
      <c r="FA126" s="153"/>
      <c r="FB126" s="153"/>
      <c r="FC126" s="153"/>
      <c r="FD126" s="153"/>
      <c r="FE126" s="153"/>
      <c r="FF126" s="153"/>
      <c r="FG126" s="153"/>
      <c r="FH126" s="153"/>
      <c r="FI126" s="153"/>
      <c r="FJ126" s="153"/>
      <c r="FK126" s="153"/>
      <c r="FL126" s="153"/>
      <c r="FM126" s="153"/>
      <c r="FN126" s="153"/>
      <c r="FO126" s="153"/>
      <c r="FP126" s="153"/>
      <c r="FQ126" s="153"/>
      <c r="FR126" s="153"/>
      <c r="FS126" s="153"/>
      <c r="FT126" s="153"/>
      <c r="FU126" s="153"/>
      <c r="FV126" s="153"/>
      <c r="FW126" s="153"/>
      <c r="FX126" s="153"/>
      <c r="FY126" s="153"/>
      <c r="FZ126" s="153"/>
      <c r="GA126" s="153"/>
      <c r="GB126" s="153"/>
      <c r="GC126" s="153"/>
      <c r="GD126" s="153"/>
      <c r="GE126" s="153"/>
      <c r="GF126" s="153"/>
      <c r="GG126" s="153"/>
      <c r="GH126" s="153"/>
      <c r="GI126" s="153"/>
      <c r="GJ126" s="153"/>
      <c r="GK126" s="153"/>
      <c r="GL126" s="153"/>
      <c r="GM126" s="153"/>
      <c r="GN126" s="153"/>
      <c r="GO126" s="153"/>
    </row>
    <row r="127" spans="1:197" s="150" customFormat="1" ht="15.5">
      <c r="A127" s="704"/>
      <c r="B127" s="704"/>
      <c r="C127" s="704"/>
      <c r="D127" s="704"/>
      <c r="E127" s="704"/>
      <c r="F127" s="704"/>
      <c r="G127" s="165"/>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c r="BI127" s="153"/>
      <c r="BJ127" s="153"/>
      <c r="BK127" s="153"/>
      <c r="BL127" s="153"/>
      <c r="BM127" s="153"/>
      <c r="BN127" s="153"/>
      <c r="BO127" s="153"/>
      <c r="BP127" s="153"/>
      <c r="BQ127" s="153"/>
      <c r="BR127" s="153"/>
      <c r="BS127" s="153"/>
      <c r="BT127" s="153"/>
      <c r="BU127" s="153"/>
      <c r="BV127" s="153"/>
      <c r="BW127" s="153"/>
      <c r="BX127" s="153"/>
      <c r="BY127" s="153"/>
      <c r="BZ127" s="153"/>
      <c r="CA127" s="153"/>
      <c r="CB127" s="153"/>
      <c r="CC127" s="153"/>
      <c r="CD127" s="153"/>
      <c r="CE127" s="153"/>
      <c r="CF127" s="153"/>
      <c r="CG127" s="153"/>
      <c r="CH127" s="153"/>
      <c r="CI127" s="153"/>
      <c r="CJ127" s="153"/>
      <c r="CK127" s="153"/>
      <c r="CL127" s="153"/>
      <c r="CM127" s="153"/>
      <c r="CN127" s="153"/>
      <c r="CO127" s="153"/>
      <c r="CP127" s="153"/>
      <c r="CQ127" s="153"/>
      <c r="CR127" s="153"/>
      <c r="CS127" s="153"/>
      <c r="CT127" s="153"/>
      <c r="CU127" s="153"/>
      <c r="CV127" s="153"/>
      <c r="CW127" s="153"/>
      <c r="CX127" s="153"/>
      <c r="CY127" s="153"/>
      <c r="CZ127" s="153"/>
      <c r="DA127" s="153"/>
      <c r="DB127" s="153"/>
      <c r="DC127" s="153"/>
      <c r="DD127" s="153"/>
      <c r="DE127" s="153"/>
      <c r="DF127" s="153"/>
      <c r="DG127" s="153"/>
      <c r="DH127" s="153"/>
      <c r="DI127" s="153"/>
      <c r="DJ127" s="153"/>
      <c r="DK127" s="153"/>
      <c r="DL127" s="153"/>
      <c r="DM127" s="153"/>
      <c r="DN127" s="153"/>
      <c r="DO127" s="153"/>
      <c r="DP127" s="153"/>
      <c r="DQ127" s="153"/>
      <c r="DR127" s="153"/>
      <c r="DS127" s="153"/>
      <c r="DT127" s="153"/>
      <c r="DU127" s="153"/>
      <c r="DV127" s="153"/>
      <c r="DW127" s="153"/>
      <c r="DX127" s="153"/>
      <c r="DY127" s="153"/>
      <c r="DZ127" s="153"/>
      <c r="EA127" s="153"/>
      <c r="EB127" s="153"/>
      <c r="EC127" s="153"/>
      <c r="ED127" s="153"/>
      <c r="EE127" s="153"/>
      <c r="EF127" s="153"/>
      <c r="EG127" s="153"/>
      <c r="EH127" s="153"/>
      <c r="EI127" s="153"/>
      <c r="EJ127" s="153"/>
      <c r="EK127" s="153"/>
      <c r="EL127" s="153"/>
      <c r="EM127" s="153"/>
      <c r="EN127" s="153"/>
      <c r="EO127" s="153"/>
      <c r="EP127" s="153"/>
      <c r="EQ127" s="153"/>
      <c r="ER127" s="153"/>
      <c r="ES127" s="153"/>
      <c r="ET127" s="153"/>
      <c r="EU127" s="153"/>
      <c r="EV127" s="153"/>
      <c r="EW127" s="153"/>
      <c r="EX127" s="153"/>
      <c r="EY127" s="153"/>
      <c r="EZ127" s="153"/>
      <c r="FA127" s="153"/>
      <c r="FB127" s="153"/>
      <c r="FC127" s="153"/>
      <c r="FD127" s="153"/>
      <c r="FE127" s="153"/>
      <c r="FF127" s="153"/>
      <c r="FG127" s="153"/>
      <c r="FH127" s="153"/>
      <c r="FI127" s="153"/>
      <c r="FJ127" s="153"/>
      <c r="FK127" s="153"/>
      <c r="FL127" s="153"/>
      <c r="FM127" s="153"/>
      <c r="FN127" s="153"/>
      <c r="FO127" s="153"/>
      <c r="FP127" s="153"/>
      <c r="FQ127" s="153"/>
      <c r="FR127" s="153"/>
      <c r="FS127" s="153"/>
      <c r="FT127" s="153"/>
      <c r="FU127" s="153"/>
      <c r="FV127" s="153"/>
      <c r="FW127" s="153"/>
      <c r="FX127" s="153"/>
      <c r="FY127" s="153"/>
      <c r="FZ127" s="153"/>
      <c r="GA127" s="153"/>
      <c r="GB127" s="153"/>
      <c r="GC127" s="153"/>
      <c r="GD127" s="153"/>
      <c r="GE127" s="153"/>
      <c r="GF127" s="153"/>
      <c r="GG127" s="153"/>
      <c r="GH127" s="153"/>
      <c r="GI127" s="153"/>
      <c r="GJ127" s="153"/>
      <c r="GK127" s="153"/>
      <c r="GL127" s="153"/>
      <c r="GM127" s="153"/>
      <c r="GN127" s="153"/>
      <c r="GO127" s="153"/>
    </row>
    <row r="128" spans="1:197" s="150" customFormat="1" ht="15.5">
      <c r="A128" s="704"/>
      <c r="B128" s="704"/>
      <c r="C128" s="704"/>
      <c r="D128" s="704"/>
      <c r="E128" s="704"/>
      <c r="F128" s="704"/>
      <c r="G128" s="165"/>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c r="BL128" s="153"/>
      <c r="BM128" s="153"/>
      <c r="BN128" s="153"/>
      <c r="BO128" s="153"/>
      <c r="BP128" s="153"/>
      <c r="BQ128" s="153"/>
      <c r="BR128" s="153"/>
      <c r="BS128" s="153"/>
      <c r="BT128" s="153"/>
      <c r="BU128" s="153"/>
      <c r="BV128" s="153"/>
      <c r="BW128" s="153"/>
      <c r="BX128" s="153"/>
      <c r="BY128" s="153"/>
      <c r="BZ128" s="153"/>
      <c r="CA128" s="153"/>
      <c r="CB128" s="153"/>
      <c r="CC128" s="153"/>
      <c r="CD128" s="153"/>
      <c r="CE128" s="153"/>
      <c r="CF128" s="153"/>
      <c r="CG128" s="153"/>
      <c r="CH128" s="153"/>
      <c r="CI128" s="153"/>
      <c r="CJ128" s="153"/>
      <c r="CK128" s="153"/>
      <c r="CL128" s="153"/>
      <c r="CM128" s="153"/>
      <c r="CN128" s="153"/>
      <c r="CO128" s="153"/>
      <c r="CP128" s="153"/>
      <c r="CQ128" s="153"/>
      <c r="CR128" s="153"/>
      <c r="CS128" s="153"/>
      <c r="CT128" s="153"/>
      <c r="CU128" s="153"/>
      <c r="CV128" s="153"/>
      <c r="CW128" s="153"/>
      <c r="CX128" s="153"/>
      <c r="CY128" s="153"/>
      <c r="CZ128" s="153"/>
      <c r="DA128" s="153"/>
      <c r="DB128" s="153"/>
      <c r="DC128" s="153"/>
      <c r="DD128" s="153"/>
      <c r="DE128" s="153"/>
      <c r="DF128" s="153"/>
      <c r="DG128" s="153"/>
      <c r="DH128" s="153"/>
      <c r="DI128" s="153"/>
      <c r="DJ128" s="153"/>
      <c r="DK128" s="153"/>
      <c r="DL128" s="153"/>
      <c r="DM128" s="153"/>
      <c r="DN128" s="153"/>
      <c r="DO128" s="153"/>
      <c r="DP128" s="153"/>
      <c r="DQ128" s="153"/>
      <c r="DR128" s="153"/>
      <c r="DS128" s="153"/>
      <c r="DT128" s="153"/>
      <c r="DU128" s="153"/>
      <c r="DV128" s="153"/>
      <c r="DW128" s="153"/>
      <c r="DX128" s="153"/>
      <c r="DY128" s="153"/>
      <c r="DZ128" s="153"/>
      <c r="EA128" s="153"/>
      <c r="EB128" s="153"/>
      <c r="EC128" s="153"/>
      <c r="ED128" s="153"/>
      <c r="EE128" s="153"/>
      <c r="EF128" s="153"/>
      <c r="EG128" s="153"/>
      <c r="EH128" s="153"/>
      <c r="EI128" s="153"/>
      <c r="EJ128" s="153"/>
      <c r="EK128" s="153"/>
      <c r="EL128" s="153"/>
      <c r="EM128" s="153"/>
      <c r="EN128" s="153"/>
      <c r="EO128" s="153"/>
      <c r="EP128" s="153"/>
      <c r="EQ128" s="153"/>
      <c r="ER128" s="153"/>
      <c r="ES128" s="153"/>
      <c r="ET128" s="153"/>
      <c r="EU128" s="153"/>
      <c r="EV128" s="153"/>
      <c r="EW128" s="153"/>
      <c r="EX128" s="153"/>
      <c r="EY128" s="153"/>
      <c r="EZ128" s="153"/>
      <c r="FA128" s="153"/>
      <c r="FB128" s="153"/>
      <c r="FC128" s="153"/>
      <c r="FD128" s="153"/>
      <c r="FE128" s="153"/>
      <c r="FF128" s="153"/>
      <c r="FG128" s="153"/>
      <c r="FH128" s="153"/>
      <c r="FI128" s="153"/>
      <c r="FJ128" s="153"/>
      <c r="FK128" s="153"/>
      <c r="FL128" s="153"/>
      <c r="FM128" s="153"/>
      <c r="FN128" s="153"/>
      <c r="FO128" s="153"/>
      <c r="FP128" s="153"/>
      <c r="FQ128" s="153"/>
      <c r="FR128" s="153"/>
      <c r="FS128" s="153"/>
      <c r="FT128" s="153"/>
      <c r="FU128" s="153"/>
      <c r="FV128" s="153"/>
      <c r="FW128" s="153"/>
      <c r="FX128" s="153"/>
      <c r="FY128" s="153"/>
      <c r="FZ128" s="153"/>
      <c r="GA128" s="153"/>
      <c r="GB128" s="153"/>
      <c r="GC128" s="153"/>
      <c r="GD128" s="153"/>
      <c r="GE128" s="153"/>
      <c r="GF128" s="153"/>
      <c r="GG128" s="153"/>
      <c r="GH128" s="153"/>
      <c r="GI128" s="153"/>
      <c r="GJ128" s="153"/>
      <c r="GK128" s="153"/>
      <c r="GL128" s="153"/>
      <c r="GM128" s="153"/>
      <c r="GN128" s="153"/>
      <c r="GO128" s="153"/>
    </row>
    <row r="129" spans="1:197" s="150" customFormat="1" ht="15.5">
      <c r="A129" s="704"/>
      <c r="B129" s="704"/>
      <c r="C129" s="704"/>
      <c r="D129" s="704"/>
      <c r="E129" s="704"/>
      <c r="F129" s="704"/>
      <c r="G129" s="165"/>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3"/>
      <c r="BM129" s="153"/>
      <c r="BN129" s="153"/>
      <c r="BO129" s="153"/>
      <c r="BP129" s="153"/>
      <c r="BQ129" s="153"/>
      <c r="BR129" s="153"/>
      <c r="BS129" s="153"/>
      <c r="BT129" s="153"/>
      <c r="BU129" s="153"/>
      <c r="BV129" s="153"/>
      <c r="BW129" s="153"/>
      <c r="BX129" s="153"/>
      <c r="BY129" s="153"/>
      <c r="BZ129" s="153"/>
      <c r="CA129" s="153"/>
      <c r="CB129" s="153"/>
      <c r="CC129" s="153"/>
      <c r="CD129" s="153"/>
      <c r="CE129" s="153"/>
      <c r="CF129" s="153"/>
      <c r="CG129" s="153"/>
      <c r="CH129" s="153"/>
      <c r="CI129" s="153"/>
      <c r="CJ129" s="153"/>
      <c r="CK129" s="153"/>
      <c r="CL129" s="153"/>
      <c r="CM129" s="153"/>
      <c r="CN129" s="153"/>
      <c r="CO129" s="153"/>
      <c r="CP129" s="153"/>
      <c r="CQ129" s="153"/>
      <c r="CR129" s="153"/>
      <c r="CS129" s="153"/>
      <c r="CT129" s="153"/>
      <c r="CU129" s="153"/>
      <c r="CV129" s="153"/>
      <c r="CW129" s="153"/>
      <c r="CX129" s="153"/>
      <c r="CY129" s="153"/>
      <c r="CZ129" s="153"/>
      <c r="DA129" s="153"/>
      <c r="DB129" s="153"/>
      <c r="DC129" s="153"/>
      <c r="DD129" s="153"/>
      <c r="DE129" s="153"/>
      <c r="DF129" s="153"/>
      <c r="DG129" s="153"/>
      <c r="DH129" s="153"/>
      <c r="DI129" s="153"/>
      <c r="DJ129" s="153"/>
      <c r="DK129" s="153"/>
      <c r="DL129" s="153"/>
      <c r="DM129" s="153"/>
      <c r="DN129" s="153"/>
      <c r="DO129" s="153"/>
      <c r="DP129" s="153"/>
      <c r="DQ129" s="153"/>
      <c r="DR129" s="153"/>
      <c r="DS129" s="153"/>
      <c r="DT129" s="153"/>
      <c r="DU129" s="153"/>
      <c r="DV129" s="153"/>
      <c r="DW129" s="153"/>
      <c r="DX129" s="153"/>
      <c r="DY129" s="153"/>
      <c r="DZ129" s="153"/>
      <c r="EA129" s="153"/>
      <c r="EB129" s="153"/>
      <c r="EC129" s="153"/>
      <c r="ED129" s="153"/>
      <c r="EE129" s="153"/>
      <c r="EF129" s="153"/>
      <c r="EG129" s="153"/>
      <c r="EH129" s="153"/>
      <c r="EI129" s="153"/>
      <c r="EJ129" s="153"/>
      <c r="EK129" s="153"/>
      <c r="EL129" s="153"/>
      <c r="EM129" s="153"/>
      <c r="EN129" s="153"/>
      <c r="EO129" s="153"/>
      <c r="EP129" s="153"/>
      <c r="EQ129" s="153"/>
      <c r="ER129" s="153"/>
      <c r="ES129" s="153"/>
      <c r="ET129" s="153"/>
      <c r="EU129" s="153"/>
      <c r="EV129" s="153"/>
      <c r="EW129" s="153"/>
      <c r="EX129" s="153"/>
      <c r="EY129" s="153"/>
      <c r="EZ129" s="153"/>
      <c r="FA129" s="153"/>
      <c r="FB129" s="153"/>
      <c r="FC129" s="153"/>
      <c r="FD129" s="153"/>
      <c r="FE129" s="153"/>
      <c r="FF129" s="153"/>
      <c r="FG129" s="153"/>
      <c r="FH129" s="153"/>
      <c r="FI129" s="153"/>
      <c r="FJ129" s="153"/>
      <c r="FK129" s="153"/>
      <c r="FL129" s="153"/>
      <c r="FM129" s="153"/>
      <c r="FN129" s="153"/>
      <c r="FO129" s="153"/>
      <c r="FP129" s="153"/>
      <c r="FQ129" s="153"/>
      <c r="FR129" s="153"/>
      <c r="FS129" s="153"/>
      <c r="FT129" s="153"/>
      <c r="FU129" s="153"/>
      <c r="FV129" s="153"/>
      <c r="FW129" s="153"/>
      <c r="FX129" s="153"/>
      <c r="FY129" s="153"/>
      <c r="FZ129" s="153"/>
      <c r="GA129" s="153"/>
      <c r="GB129" s="153"/>
      <c r="GC129" s="153"/>
      <c r="GD129" s="153"/>
      <c r="GE129" s="153"/>
      <c r="GF129" s="153"/>
      <c r="GG129" s="153"/>
      <c r="GH129" s="153"/>
      <c r="GI129" s="153"/>
      <c r="GJ129" s="153"/>
      <c r="GK129" s="153"/>
      <c r="GL129" s="153"/>
      <c r="GM129" s="153"/>
      <c r="GN129" s="153"/>
      <c r="GO129" s="153"/>
    </row>
    <row r="130" spans="1:197" s="150" customFormat="1" ht="15.5">
      <c r="A130" s="704"/>
      <c r="B130" s="704"/>
      <c r="C130" s="704"/>
      <c r="D130" s="704"/>
      <c r="E130" s="704"/>
      <c r="F130" s="704"/>
      <c r="G130" s="165"/>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c r="BR130" s="153"/>
      <c r="BS130" s="153"/>
      <c r="BT130" s="153"/>
      <c r="BU130" s="153"/>
      <c r="BV130" s="153"/>
      <c r="BW130" s="153"/>
      <c r="BX130" s="153"/>
      <c r="BY130" s="153"/>
      <c r="BZ130" s="153"/>
      <c r="CA130" s="153"/>
      <c r="CB130" s="153"/>
      <c r="CC130" s="153"/>
      <c r="CD130" s="153"/>
      <c r="CE130" s="153"/>
      <c r="CF130" s="153"/>
      <c r="CG130" s="153"/>
      <c r="CH130" s="153"/>
      <c r="CI130" s="153"/>
      <c r="CJ130" s="153"/>
      <c r="CK130" s="153"/>
      <c r="CL130" s="153"/>
      <c r="CM130" s="153"/>
      <c r="CN130" s="153"/>
      <c r="CO130" s="153"/>
      <c r="CP130" s="153"/>
      <c r="CQ130" s="153"/>
      <c r="CR130" s="153"/>
      <c r="CS130" s="153"/>
      <c r="CT130" s="153"/>
      <c r="CU130" s="153"/>
      <c r="CV130" s="153"/>
      <c r="CW130" s="153"/>
      <c r="CX130" s="153"/>
      <c r="CY130" s="153"/>
      <c r="CZ130" s="153"/>
      <c r="DA130" s="153"/>
      <c r="DB130" s="153"/>
      <c r="DC130" s="153"/>
      <c r="DD130" s="153"/>
      <c r="DE130" s="153"/>
      <c r="DF130" s="153"/>
      <c r="DG130" s="153"/>
      <c r="DH130" s="153"/>
      <c r="DI130" s="153"/>
      <c r="DJ130" s="153"/>
      <c r="DK130" s="153"/>
      <c r="DL130" s="153"/>
      <c r="DM130" s="153"/>
      <c r="DN130" s="153"/>
      <c r="DO130" s="153"/>
      <c r="DP130" s="153"/>
      <c r="DQ130" s="153"/>
      <c r="DR130" s="153"/>
      <c r="DS130" s="153"/>
      <c r="DT130" s="153"/>
      <c r="DU130" s="153"/>
      <c r="DV130" s="153"/>
      <c r="DW130" s="153"/>
      <c r="DX130" s="153"/>
      <c r="DY130" s="153"/>
      <c r="DZ130" s="153"/>
      <c r="EA130" s="153"/>
      <c r="EB130" s="153"/>
      <c r="EC130" s="153"/>
      <c r="ED130" s="153"/>
      <c r="EE130" s="153"/>
      <c r="EF130" s="153"/>
      <c r="EG130" s="153"/>
      <c r="EH130" s="153"/>
      <c r="EI130" s="153"/>
      <c r="EJ130" s="153"/>
      <c r="EK130" s="153"/>
      <c r="EL130" s="153"/>
      <c r="EM130" s="153"/>
      <c r="EN130" s="153"/>
      <c r="EO130" s="153"/>
      <c r="EP130" s="153"/>
      <c r="EQ130" s="153"/>
      <c r="ER130" s="153"/>
      <c r="ES130" s="153"/>
      <c r="ET130" s="153"/>
      <c r="EU130" s="153"/>
      <c r="EV130" s="153"/>
      <c r="EW130" s="153"/>
      <c r="EX130" s="153"/>
      <c r="EY130" s="153"/>
      <c r="EZ130" s="153"/>
      <c r="FA130" s="153"/>
      <c r="FB130" s="153"/>
      <c r="FC130" s="153"/>
      <c r="FD130" s="153"/>
      <c r="FE130" s="153"/>
      <c r="FF130" s="153"/>
      <c r="FG130" s="153"/>
      <c r="FH130" s="153"/>
      <c r="FI130" s="153"/>
      <c r="FJ130" s="153"/>
      <c r="FK130" s="153"/>
      <c r="FL130" s="153"/>
      <c r="FM130" s="153"/>
      <c r="FN130" s="153"/>
      <c r="FO130" s="153"/>
      <c r="FP130" s="153"/>
      <c r="FQ130" s="153"/>
      <c r="FR130" s="153"/>
      <c r="FS130" s="153"/>
      <c r="FT130" s="153"/>
      <c r="FU130" s="153"/>
      <c r="FV130" s="153"/>
      <c r="FW130" s="153"/>
      <c r="FX130" s="153"/>
      <c r="FY130" s="153"/>
      <c r="FZ130" s="153"/>
      <c r="GA130" s="153"/>
      <c r="GB130" s="153"/>
      <c r="GC130" s="153"/>
      <c r="GD130" s="153"/>
      <c r="GE130" s="153"/>
      <c r="GF130" s="153"/>
      <c r="GG130" s="153"/>
      <c r="GH130" s="153"/>
      <c r="GI130" s="153"/>
      <c r="GJ130" s="153"/>
      <c r="GK130" s="153"/>
      <c r="GL130" s="153"/>
      <c r="GM130" s="153"/>
      <c r="GN130" s="153"/>
      <c r="GO130" s="153"/>
    </row>
    <row r="131" spans="1:197">
      <c r="A131" s="668" t="s">
        <v>0</v>
      </c>
      <c r="B131" s="669" t="s">
        <v>1</v>
      </c>
      <c r="C131" s="592" t="s">
        <v>2</v>
      </c>
      <c r="D131" s="593" t="s">
        <v>426</v>
      </c>
      <c r="E131" s="594" t="s">
        <v>368</v>
      </c>
      <c r="F131" s="595" t="s">
        <v>472</v>
      </c>
      <c r="G131" s="186"/>
    </row>
    <row r="132" spans="1:197" s="644" customFormat="1">
      <c r="A132" s="690">
        <v>3.7</v>
      </c>
      <c r="B132" s="674" t="s">
        <v>1077</v>
      </c>
      <c r="C132" s="648"/>
      <c r="D132" s="618"/>
      <c r="E132" s="648"/>
      <c r="F132" s="682"/>
    </row>
    <row r="133" spans="1:197" s="644" customFormat="1">
      <c r="A133" s="681"/>
      <c r="B133" s="649" t="s">
        <v>55</v>
      </c>
      <c r="C133" s="648"/>
      <c r="D133" s="618"/>
      <c r="E133" s="648"/>
      <c r="F133" s="682"/>
    </row>
    <row r="134" spans="1:197" s="644" customFormat="1">
      <c r="A134" s="681"/>
      <c r="B134" s="649" t="s">
        <v>56</v>
      </c>
      <c r="C134" s="648"/>
      <c r="D134" s="618"/>
      <c r="E134" s="648"/>
      <c r="F134" s="682"/>
    </row>
    <row r="135" spans="1:197" s="644" customFormat="1">
      <c r="A135" s="681" t="s">
        <v>537</v>
      </c>
      <c r="B135" s="616" t="s">
        <v>949</v>
      </c>
      <c r="C135" s="648" t="s">
        <v>33</v>
      </c>
      <c r="D135" s="618">
        <f>D78</f>
        <v>108</v>
      </c>
      <c r="E135" s="648"/>
      <c r="F135" s="682">
        <f>E135*D135</f>
        <v>0</v>
      </c>
    </row>
    <row r="136" spans="1:197" s="644" customFormat="1">
      <c r="A136" s="681"/>
      <c r="B136" s="649" t="s">
        <v>1041</v>
      </c>
      <c r="C136" s="648"/>
      <c r="D136" s="618"/>
      <c r="E136" s="648"/>
      <c r="F136" s="682"/>
    </row>
    <row r="137" spans="1:197" s="644" customFormat="1">
      <c r="A137" s="681" t="s">
        <v>538</v>
      </c>
      <c r="B137" s="616" t="s">
        <v>1042</v>
      </c>
      <c r="C137" s="648" t="s">
        <v>33</v>
      </c>
      <c r="D137" s="618">
        <v>275</v>
      </c>
      <c r="E137" s="648"/>
      <c r="F137" s="682">
        <f>E137*D137</f>
        <v>0</v>
      </c>
    </row>
    <row r="138" spans="1:197" s="644" customFormat="1">
      <c r="A138" s="681"/>
      <c r="B138" s="616" t="s">
        <v>1263</v>
      </c>
      <c r="C138" s="648" t="s">
        <v>441</v>
      </c>
      <c r="D138" s="618">
        <f>D69</f>
        <v>60</v>
      </c>
      <c r="E138" s="648"/>
      <c r="F138" s="682">
        <f>E138*D138</f>
        <v>0</v>
      </c>
    </row>
    <row r="139" spans="1:197" s="644" customFormat="1">
      <c r="A139" s="681"/>
      <c r="B139" s="674" t="s">
        <v>18</v>
      </c>
      <c r="C139" s="648"/>
      <c r="D139" s="618"/>
      <c r="E139" s="648"/>
      <c r="F139" s="682"/>
    </row>
    <row r="140" spans="1:197" s="644" customFormat="1">
      <c r="A140" s="681"/>
      <c r="B140" s="649" t="s">
        <v>486</v>
      </c>
      <c r="C140" s="648"/>
      <c r="D140" s="618"/>
      <c r="E140" s="648"/>
      <c r="F140" s="682"/>
    </row>
    <row r="141" spans="1:197" s="644" customFormat="1">
      <c r="A141" s="681" t="s">
        <v>539</v>
      </c>
      <c r="B141" s="616" t="s">
        <v>1078</v>
      </c>
      <c r="C141" s="648" t="s">
        <v>33</v>
      </c>
      <c r="D141" s="618">
        <f>D27</f>
        <v>250</v>
      </c>
      <c r="E141" s="648"/>
      <c r="F141" s="682">
        <f>E141*D141</f>
        <v>0</v>
      </c>
    </row>
    <row r="142" spans="1:197" s="644" customFormat="1">
      <c r="A142" s="681" t="s">
        <v>540</v>
      </c>
      <c r="B142" s="616" t="s">
        <v>1079</v>
      </c>
      <c r="C142" s="648" t="s">
        <v>50</v>
      </c>
      <c r="D142" s="618">
        <v>150</v>
      </c>
      <c r="E142" s="648"/>
      <c r="F142" s="682">
        <f t="shared" ref="F142" si="6">D142*E142</f>
        <v>0</v>
      </c>
    </row>
    <row r="143" spans="1:197" s="166" customFormat="1" ht="15.5">
      <c r="A143" s="716" t="s">
        <v>1211</v>
      </c>
      <c r="B143" s="717" t="s">
        <v>523</v>
      </c>
      <c r="C143" s="617" t="s">
        <v>33</v>
      </c>
      <c r="D143" s="617">
        <v>21</v>
      </c>
      <c r="E143" s="618"/>
      <c r="F143" s="612">
        <f t="shared" ref="F143" si="7">E143*D143</f>
        <v>0</v>
      </c>
    </row>
    <row r="144" spans="1:197" s="644" customFormat="1">
      <c r="A144" s="681"/>
      <c r="B144" s="674" t="s">
        <v>392</v>
      </c>
      <c r="C144" s="648"/>
      <c r="D144" s="618"/>
      <c r="E144" s="648"/>
      <c r="F144" s="682"/>
    </row>
    <row r="145" spans="1:197" s="644" customFormat="1">
      <c r="A145" s="681"/>
      <c r="B145" s="674" t="s">
        <v>1043</v>
      </c>
      <c r="C145" s="648"/>
      <c r="D145" s="618"/>
      <c r="E145" s="648"/>
      <c r="F145" s="682"/>
    </row>
    <row r="146" spans="1:197" s="644" customFormat="1">
      <c r="A146" s="681"/>
      <c r="B146" s="674" t="s">
        <v>1044</v>
      </c>
      <c r="C146" s="648"/>
      <c r="D146" s="618"/>
      <c r="E146" s="648"/>
      <c r="F146" s="682"/>
    </row>
    <row r="147" spans="1:197" s="644" customFormat="1">
      <c r="A147" s="681" t="s">
        <v>1212</v>
      </c>
      <c r="B147" s="616" t="s">
        <v>1045</v>
      </c>
      <c r="C147" s="648" t="s">
        <v>33</v>
      </c>
      <c r="D147" s="618">
        <f>D135</f>
        <v>108</v>
      </c>
      <c r="E147" s="648"/>
      <c r="F147" s="682">
        <f>E147*D147</f>
        <v>0</v>
      </c>
    </row>
    <row r="148" spans="1:197" s="644" customFormat="1">
      <c r="A148" s="681"/>
      <c r="B148" s="674" t="s">
        <v>1046</v>
      </c>
      <c r="C148" s="648"/>
      <c r="D148" s="618"/>
      <c r="E148" s="648"/>
      <c r="F148" s="682"/>
    </row>
    <row r="149" spans="1:197" s="644" customFormat="1">
      <c r="A149" s="681"/>
      <c r="B149" s="674" t="s">
        <v>1047</v>
      </c>
      <c r="C149" s="648"/>
      <c r="D149" s="618"/>
      <c r="E149" s="648"/>
      <c r="F149" s="682"/>
    </row>
    <row r="150" spans="1:197" s="644" customFormat="1">
      <c r="A150" s="681" t="s">
        <v>1213</v>
      </c>
      <c r="B150" s="616" t="s">
        <v>1048</v>
      </c>
      <c r="C150" s="648" t="s">
        <v>33</v>
      </c>
      <c r="D150" s="618">
        <f>D137+D138</f>
        <v>335</v>
      </c>
      <c r="E150" s="648"/>
      <c r="F150" s="682">
        <f>E150*D150</f>
        <v>0</v>
      </c>
    </row>
    <row r="151" spans="1:197" s="155" customFormat="1" ht="15.5">
      <c r="A151" s="718"/>
      <c r="B151" s="719" t="s">
        <v>1179</v>
      </c>
      <c r="C151" s="720"/>
      <c r="D151" s="718"/>
      <c r="E151" s="718"/>
      <c r="F151" s="721">
        <f>SUM(F134:F150)</f>
        <v>0</v>
      </c>
      <c r="G151" s="167"/>
    </row>
    <row r="152" spans="1:197" s="156" customFormat="1" ht="15.5">
      <c r="A152" s="722"/>
      <c r="B152" s="723"/>
      <c r="C152" s="724"/>
      <c r="D152" s="725"/>
      <c r="E152" s="726"/>
      <c r="F152" s="727">
        <f t="shared" ref="F152" si="8">E152*D152</f>
        <v>0</v>
      </c>
      <c r="G152" s="168"/>
    </row>
    <row r="153" spans="1:197" s="11" customFormat="1" ht="15.5">
      <c r="A153" s="722"/>
      <c r="B153" s="723"/>
      <c r="C153" s="724"/>
      <c r="D153" s="725"/>
      <c r="E153" s="726"/>
      <c r="F153" s="727">
        <f t="shared" ref="F153:F173" si="9">E153*D153</f>
        <v>0</v>
      </c>
      <c r="G153" s="131"/>
    </row>
    <row r="154" spans="1:197" s="101" customFormat="1">
      <c r="A154" s="668" t="s">
        <v>0</v>
      </c>
      <c r="B154" s="669" t="s">
        <v>1</v>
      </c>
      <c r="C154" s="592" t="s">
        <v>2</v>
      </c>
      <c r="D154" s="593" t="s">
        <v>426</v>
      </c>
      <c r="E154" s="594" t="s">
        <v>368</v>
      </c>
      <c r="F154" s="595" t="s">
        <v>472</v>
      </c>
      <c r="G154" s="159"/>
    </row>
    <row r="155" spans="1:197" s="150" customFormat="1" ht="15.5">
      <c r="A155" s="678"/>
      <c r="B155" s="674" t="s">
        <v>595</v>
      </c>
      <c r="C155" s="648"/>
      <c r="D155" s="617"/>
      <c r="E155" s="618"/>
      <c r="F155" s="675"/>
      <c r="G155" s="165"/>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c r="BI155" s="153"/>
      <c r="BJ155" s="153"/>
      <c r="BK155" s="153"/>
      <c r="BL155" s="153"/>
      <c r="BM155" s="153"/>
      <c r="BN155" s="153"/>
      <c r="BO155" s="153"/>
      <c r="BP155" s="153"/>
      <c r="BQ155" s="153"/>
      <c r="BR155" s="153"/>
      <c r="BS155" s="153"/>
      <c r="BT155" s="153"/>
      <c r="BU155" s="153"/>
      <c r="BV155" s="153"/>
      <c r="BW155" s="153"/>
      <c r="BX155" s="153"/>
      <c r="BY155" s="153"/>
      <c r="BZ155" s="153"/>
      <c r="CA155" s="153"/>
      <c r="CB155" s="153"/>
      <c r="CC155" s="153"/>
      <c r="CD155" s="153"/>
      <c r="CE155" s="153"/>
      <c r="CF155" s="153"/>
      <c r="CG155" s="153"/>
      <c r="CH155" s="153"/>
      <c r="CI155" s="153"/>
      <c r="CJ155" s="153"/>
      <c r="CK155" s="153"/>
      <c r="CL155" s="153"/>
      <c r="CM155" s="153"/>
      <c r="CN155" s="153"/>
      <c r="CO155" s="153"/>
      <c r="CP155" s="153"/>
      <c r="CQ155" s="153"/>
      <c r="CR155" s="153"/>
      <c r="CS155" s="153"/>
      <c r="CT155" s="153"/>
      <c r="CU155" s="153"/>
      <c r="CV155" s="153"/>
      <c r="CW155" s="153"/>
      <c r="CX155" s="153"/>
      <c r="CY155" s="153"/>
      <c r="CZ155" s="153"/>
      <c r="DA155" s="153"/>
      <c r="DB155" s="153"/>
      <c r="DC155" s="153"/>
      <c r="DD155" s="153"/>
      <c r="DE155" s="153"/>
      <c r="DF155" s="153"/>
      <c r="DG155" s="153"/>
      <c r="DH155" s="153"/>
      <c r="DI155" s="153"/>
      <c r="DJ155" s="153"/>
      <c r="DK155" s="153"/>
      <c r="DL155" s="153"/>
      <c r="DM155" s="153"/>
      <c r="DN155" s="153"/>
      <c r="DO155" s="153"/>
      <c r="DP155" s="153"/>
      <c r="DQ155" s="153"/>
      <c r="DR155" s="153"/>
      <c r="DS155" s="153"/>
      <c r="DT155" s="153"/>
      <c r="DU155" s="153"/>
      <c r="DV155" s="153"/>
      <c r="DW155" s="153"/>
      <c r="DX155" s="153"/>
      <c r="DY155" s="153"/>
      <c r="DZ155" s="153"/>
      <c r="EA155" s="153"/>
      <c r="EB155" s="153"/>
      <c r="EC155" s="153"/>
      <c r="ED155" s="153"/>
      <c r="EE155" s="153"/>
      <c r="EF155" s="153"/>
      <c r="EG155" s="153"/>
      <c r="EH155" s="153"/>
      <c r="EI155" s="153"/>
      <c r="EJ155" s="153"/>
      <c r="EK155" s="153"/>
      <c r="EL155" s="153"/>
      <c r="EM155" s="153"/>
      <c r="EN155" s="153"/>
      <c r="EO155" s="153"/>
      <c r="EP155" s="153"/>
      <c r="EQ155" s="153"/>
      <c r="ER155" s="153"/>
      <c r="ES155" s="153"/>
      <c r="ET155" s="153"/>
      <c r="EU155" s="153"/>
      <c r="EV155" s="153"/>
      <c r="EW155" s="153"/>
      <c r="EX155" s="153"/>
      <c r="EY155" s="153"/>
      <c r="EZ155" s="153"/>
      <c r="FA155" s="153"/>
      <c r="FB155" s="153"/>
      <c r="FC155" s="153"/>
      <c r="FD155" s="153"/>
      <c r="FE155" s="153"/>
      <c r="FF155" s="153"/>
      <c r="FG155" s="153"/>
      <c r="FH155" s="153"/>
      <c r="FI155" s="153"/>
      <c r="FJ155" s="153"/>
      <c r="FK155" s="153"/>
      <c r="FL155" s="153"/>
      <c r="FM155" s="153"/>
      <c r="FN155" s="153"/>
      <c r="FO155" s="153"/>
      <c r="FP155" s="153"/>
      <c r="FQ155" s="153"/>
      <c r="FR155" s="153"/>
      <c r="FS155" s="153"/>
      <c r="FT155" s="153"/>
      <c r="FU155" s="153"/>
      <c r="FV155" s="153"/>
      <c r="FW155" s="153"/>
      <c r="FX155" s="153"/>
      <c r="FY155" s="153"/>
      <c r="FZ155" s="153"/>
      <c r="GA155" s="153"/>
      <c r="GB155" s="153"/>
      <c r="GC155" s="153"/>
      <c r="GD155" s="153"/>
      <c r="GE155" s="153"/>
      <c r="GF155" s="153"/>
      <c r="GG155" s="153"/>
      <c r="GH155" s="153"/>
      <c r="GI155" s="153"/>
      <c r="GJ155" s="153"/>
      <c r="GK155" s="153"/>
      <c r="GL155" s="153"/>
      <c r="GM155" s="153"/>
      <c r="GN155" s="153"/>
      <c r="GO155" s="153"/>
    </row>
    <row r="156" spans="1:197" s="154" customFormat="1" ht="15.5">
      <c r="A156" s="728">
        <v>3.8</v>
      </c>
      <c r="B156" s="729" t="s">
        <v>1180</v>
      </c>
      <c r="C156" s="730"/>
      <c r="D156" s="731"/>
      <c r="E156" s="730"/>
      <c r="F156" s="732">
        <f t="shared" si="9"/>
        <v>0</v>
      </c>
      <c r="G156" s="166"/>
    </row>
    <row r="157" spans="1:197" s="154" customFormat="1" ht="62">
      <c r="A157" s="733"/>
      <c r="B157" s="734" t="s">
        <v>479</v>
      </c>
      <c r="C157" s="735"/>
      <c r="D157" s="736"/>
      <c r="E157" s="737"/>
      <c r="F157" s="727">
        <f t="shared" si="9"/>
        <v>0</v>
      </c>
      <c r="G157" s="166"/>
    </row>
    <row r="158" spans="1:197" s="157" customFormat="1" ht="15.5">
      <c r="A158" s="733" t="s">
        <v>598</v>
      </c>
      <c r="B158" s="738" t="s">
        <v>513</v>
      </c>
      <c r="C158" s="735" t="s">
        <v>5</v>
      </c>
      <c r="D158" s="617">
        <v>8</v>
      </c>
      <c r="E158" s="586"/>
      <c r="F158" s="612">
        <f t="shared" si="9"/>
        <v>0</v>
      </c>
      <c r="G158" s="169"/>
    </row>
    <row r="159" spans="1:197" s="157" customFormat="1" ht="15.5">
      <c r="A159" s="733"/>
      <c r="B159" s="739" t="s">
        <v>198</v>
      </c>
      <c r="C159" s="735"/>
      <c r="D159" s="617"/>
      <c r="E159" s="586"/>
      <c r="F159" s="612">
        <f t="shared" si="9"/>
        <v>0</v>
      </c>
      <c r="G159" s="169"/>
    </row>
    <row r="160" spans="1:197" s="157" customFormat="1" ht="15.5">
      <c r="A160" s="733" t="s">
        <v>1214</v>
      </c>
      <c r="B160" s="738" t="s">
        <v>269</v>
      </c>
      <c r="C160" s="735" t="s">
        <v>12</v>
      </c>
      <c r="D160" s="617">
        <v>6</v>
      </c>
      <c r="E160" s="586"/>
      <c r="F160" s="612">
        <f t="shared" si="9"/>
        <v>0</v>
      </c>
      <c r="G160" s="169"/>
    </row>
    <row r="161" spans="1:7" s="157" customFormat="1" ht="15.5">
      <c r="A161" s="733"/>
      <c r="B161" s="729" t="s">
        <v>199</v>
      </c>
      <c r="C161" s="737"/>
      <c r="D161" s="617"/>
      <c r="E161" s="586"/>
      <c r="F161" s="612">
        <f t="shared" si="9"/>
        <v>0</v>
      </c>
      <c r="G161" s="169"/>
    </row>
    <row r="162" spans="1:7" s="157" customFormat="1" ht="124">
      <c r="A162" s="733"/>
      <c r="B162" s="740" t="s">
        <v>480</v>
      </c>
      <c r="C162" s="735"/>
      <c r="D162" s="617"/>
      <c r="E162" s="586"/>
      <c r="F162" s="612">
        <f t="shared" si="9"/>
        <v>0</v>
      </c>
      <c r="G162" s="169"/>
    </row>
    <row r="163" spans="1:7" s="157" customFormat="1" ht="15.5">
      <c r="A163" s="733"/>
      <c r="B163" s="741" t="s">
        <v>206</v>
      </c>
      <c r="C163" s="735"/>
      <c r="D163" s="617"/>
      <c r="E163" s="586"/>
      <c r="F163" s="612">
        <f t="shared" si="9"/>
        <v>0</v>
      </c>
      <c r="G163" s="169"/>
    </row>
    <row r="164" spans="1:7" s="157" customFormat="1" ht="15.5">
      <c r="A164" s="733" t="s">
        <v>1215</v>
      </c>
      <c r="B164" s="741" t="s">
        <v>207</v>
      </c>
      <c r="C164" s="735" t="s">
        <v>12</v>
      </c>
      <c r="D164" s="617">
        <v>8</v>
      </c>
      <c r="E164" s="586"/>
      <c r="F164" s="612">
        <f t="shared" si="9"/>
        <v>0</v>
      </c>
      <c r="G164" s="169"/>
    </row>
    <row r="165" spans="1:7" s="157" customFormat="1" ht="15.5">
      <c r="A165" s="733"/>
      <c r="B165" s="739" t="s">
        <v>514</v>
      </c>
      <c r="C165" s="737"/>
      <c r="D165" s="617"/>
      <c r="E165" s="586"/>
      <c r="F165" s="612">
        <f t="shared" si="9"/>
        <v>0</v>
      </c>
      <c r="G165" s="169"/>
    </row>
    <row r="166" spans="1:7" s="157" customFormat="1" ht="93">
      <c r="A166" s="733"/>
      <c r="B166" s="738" t="s">
        <v>515</v>
      </c>
      <c r="C166" s="735"/>
      <c r="D166" s="617"/>
      <c r="E166" s="586"/>
      <c r="F166" s="612">
        <f t="shared" si="9"/>
        <v>0</v>
      </c>
      <c r="G166" s="169"/>
    </row>
    <row r="167" spans="1:7" s="157" customFormat="1" ht="15.5">
      <c r="A167" s="733" t="s">
        <v>1216</v>
      </c>
      <c r="B167" s="741" t="s">
        <v>516</v>
      </c>
      <c r="C167" s="735" t="s">
        <v>4</v>
      </c>
      <c r="D167" s="617">
        <v>50</v>
      </c>
      <c r="E167" s="586"/>
      <c r="F167" s="612">
        <f t="shared" si="9"/>
        <v>0</v>
      </c>
      <c r="G167" s="169"/>
    </row>
    <row r="168" spans="1:7" s="158" customFormat="1" ht="62">
      <c r="A168" s="733" t="s">
        <v>1663</v>
      </c>
      <c r="B168" s="746" t="s">
        <v>524</v>
      </c>
      <c r="C168" s="745" t="s">
        <v>146</v>
      </c>
      <c r="D168" s="617" t="s">
        <v>439</v>
      </c>
      <c r="E168" s="586"/>
      <c r="F168" s="612"/>
      <c r="G168" s="170"/>
    </row>
    <row r="169" spans="1:7" s="185" customFormat="1" ht="31">
      <c r="A169" s="728"/>
      <c r="B169" s="734" t="s">
        <v>1217</v>
      </c>
      <c r="C169" s="742"/>
      <c r="D169" s="715"/>
      <c r="E169" s="602"/>
      <c r="F169" s="605">
        <f>SUM(F156:F168)</f>
        <v>0</v>
      </c>
      <c r="G169" s="170"/>
    </row>
    <row r="170" spans="1:7" s="185" customFormat="1" ht="15.5">
      <c r="A170" s="728"/>
      <c r="B170" s="734"/>
      <c r="C170" s="742"/>
      <c r="D170" s="715"/>
      <c r="E170" s="602"/>
      <c r="F170" s="605"/>
      <c r="G170" s="170"/>
    </row>
    <row r="171" spans="1:7" s="157" customFormat="1" ht="15.5">
      <c r="A171" s="728">
        <v>3.9</v>
      </c>
      <c r="B171" s="729" t="s">
        <v>1221</v>
      </c>
      <c r="C171" s="742"/>
      <c r="D171" s="617"/>
      <c r="E171" s="586"/>
      <c r="F171" s="612"/>
      <c r="G171" s="169"/>
    </row>
    <row r="172" spans="1:7" s="157" customFormat="1" ht="46.5">
      <c r="A172" s="744"/>
      <c r="B172" s="723" t="s">
        <v>517</v>
      </c>
      <c r="C172" s="745"/>
      <c r="D172" s="617"/>
      <c r="E172" s="586"/>
      <c r="F172" s="612">
        <f t="shared" si="9"/>
        <v>0</v>
      </c>
      <c r="G172" s="169"/>
    </row>
    <row r="173" spans="1:7" s="157" customFormat="1" ht="15.5">
      <c r="A173" s="744" t="s">
        <v>600</v>
      </c>
      <c r="B173" s="746" t="s">
        <v>518</v>
      </c>
      <c r="C173" s="745" t="s">
        <v>519</v>
      </c>
      <c r="D173" s="617">
        <v>3</v>
      </c>
      <c r="E173" s="586"/>
      <c r="F173" s="612">
        <f t="shared" si="9"/>
        <v>0</v>
      </c>
      <c r="G173" s="169"/>
    </row>
    <row r="174" spans="1:7" s="582" customFormat="1">
      <c r="A174" s="591"/>
      <c r="B174" s="614" t="s">
        <v>351</v>
      </c>
      <c r="C174" s="606"/>
      <c r="D174" s="606"/>
      <c r="E174" s="586"/>
      <c r="F174" s="612"/>
      <c r="G174" s="186"/>
    </row>
    <row r="175" spans="1:7" s="582" customFormat="1" ht="43.5">
      <c r="A175" s="591"/>
      <c r="B175" s="596" t="s">
        <v>1218</v>
      </c>
      <c r="C175" s="606"/>
      <c r="D175" s="606"/>
      <c r="E175" s="586"/>
      <c r="F175" s="612"/>
      <c r="G175" s="186"/>
    </row>
    <row r="176" spans="1:7" s="582" customFormat="1" ht="130.5">
      <c r="A176" s="591" t="s">
        <v>1664</v>
      </c>
      <c r="B176" s="590" t="s">
        <v>1219</v>
      </c>
      <c r="C176" s="606" t="s">
        <v>5</v>
      </c>
      <c r="D176" s="606">
        <v>2</v>
      </c>
      <c r="E176" s="586"/>
      <c r="F176" s="612">
        <f>D176*E176</f>
        <v>0</v>
      </c>
      <c r="G176" s="186"/>
    </row>
    <row r="177" spans="1:7" s="604" customFormat="1">
      <c r="A177" s="583"/>
      <c r="B177" s="599" t="s">
        <v>1220</v>
      </c>
      <c r="F177" s="620">
        <f>SUM(F173:F176)</f>
        <v>0</v>
      </c>
      <c r="G177" s="799"/>
    </row>
    <row r="178" spans="1:7" s="132" customFormat="1">
      <c r="A178" s="583"/>
      <c r="B178" s="599"/>
      <c r="C178" s="604"/>
      <c r="D178" s="604"/>
      <c r="E178" s="604"/>
      <c r="F178" s="620"/>
    </row>
    <row r="179" spans="1:7" s="132" customFormat="1">
      <c r="A179" s="583"/>
      <c r="B179" s="599"/>
      <c r="C179" s="604"/>
      <c r="D179" s="604"/>
      <c r="E179" s="604"/>
      <c r="F179" s="620"/>
    </row>
    <row r="180" spans="1:7" s="101" customFormat="1">
      <c r="A180" s="678"/>
      <c r="B180" s="674"/>
      <c r="C180" s="648"/>
      <c r="D180" s="617"/>
      <c r="E180" s="618"/>
      <c r="F180" s="789"/>
      <c r="G180" s="159"/>
    </row>
    <row r="181" spans="1:7">
      <c r="A181" s="668" t="s">
        <v>0</v>
      </c>
      <c r="B181" s="669" t="s">
        <v>1</v>
      </c>
      <c r="C181" s="592" t="s">
        <v>2</v>
      </c>
      <c r="D181" s="593" t="s">
        <v>426</v>
      </c>
      <c r="E181" s="594" t="s">
        <v>368</v>
      </c>
      <c r="F181" s="595" t="s">
        <v>472</v>
      </c>
      <c r="G181" s="186"/>
    </row>
    <row r="182" spans="1:7" s="101" customFormat="1">
      <c r="A182" s="981">
        <v>3.1</v>
      </c>
      <c r="B182" s="674" t="s">
        <v>1647</v>
      </c>
      <c r="C182" s="648"/>
      <c r="D182" s="617"/>
      <c r="E182" s="618"/>
      <c r="F182" s="982"/>
      <c r="G182" s="159"/>
    </row>
    <row r="183" spans="1:7" s="101" customFormat="1" ht="159.5">
      <c r="A183" s="615" t="s">
        <v>1658</v>
      </c>
      <c r="B183" s="965" t="s">
        <v>1648</v>
      </c>
      <c r="C183" s="648" t="s">
        <v>633</v>
      </c>
      <c r="D183" s="617" t="s">
        <v>439</v>
      </c>
      <c r="E183" s="618"/>
      <c r="F183" s="982"/>
      <c r="G183" s="159"/>
    </row>
    <row r="184" spans="1:7" s="102" customFormat="1">
      <c r="A184" s="634"/>
      <c r="B184" s="964" t="s">
        <v>1649</v>
      </c>
      <c r="C184" s="639"/>
      <c r="D184" s="715"/>
      <c r="E184" s="688"/>
      <c r="F184" s="982">
        <f>SUM(F183)</f>
        <v>0</v>
      </c>
      <c r="G184" s="171"/>
    </row>
    <row r="185" spans="1:7" s="101" customFormat="1" ht="16.5" customHeight="1">
      <c r="A185" s="615"/>
      <c r="B185" s="965"/>
      <c r="C185" s="648"/>
      <c r="D185" s="617"/>
      <c r="E185" s="618"/>
      <c r="F185" s="982"/>
      <c r="G185" s="159"/>
    </row>
    <row r="186" spans="1:7" s="101" customFormat="1">
      <c r="A186" s="983">
        <v>3.11</v>
      </c>
      <c r="B186" s="674" t="s">
        <v>1650</v>
      </c>
      <c r="C186" s="984"/>
      <c r="D186" s="682"/>
      <c r="E186" s="682"/>
      <c r="F186" s="985"/>
      <c r="G186" s="159"/>
    </row>
    <row r="187" spans="1:7" s="101" customFormat="1">
      <c r="A187" s="986" t="s">
        <v>1659</v>
      </c>
      <c r="B187" s="616" t="s">
        <v>1651</v>
      </c>
      <c r="C187" s="984" t="s">
        <v>1652</v>
      </c>
      <c r="D187" s="682">
        <v>11</v>
      </c>
      <c r="E187" s="682"/>
      <c r="F187" s="985">
        <f>D187*E187</f>
        <v>0</v>
      </c>
      <c r="G187" s="159"/>
    </row>
    <row r="188" spans="1:7" s="101" customFormat="1">
      <c r="A188" s="986" t="s">
        <v>1660</v>
      </c>
      <c r="B188" s="616" t="s">
        <v>1653</v>
      </c>
      <c r="C188" s="984" t="s">
        <v>1652</v>
      </c>
      <c r="D188" s="682">
        <v>7</v>
      </c>
      <c r="E188" s="682"/>
      <c r="F188" s="985">
        <f>D188*E188</f>
        <v>0</v>
      </c>
      <c r="G188" s="159"/>
    </row>
    <row r="189" spans="1:7" s="101" customFormat="1">
      <c r="A189" s="986" t="s">
        <v>1661</v>
      </c>
      <c r="B189" s="616" t="s">
        <v>1654</v>
      </c>
      <c r="C189" s="984" t="s">
        <v>1655</v>
      </c>
      <c r="D189" s="682">
        <v>4</v>
      </c>
      <c r="E189" s="682"/>
      <c r="F189" s="985">
        <f>D189*E189</f>
        <v>0</v>
      </c>
      <c r="G189" s="159"/>
    </row>
    <row r="190" spans="1:7" s="101" customFormat="1">
      <c r="A190" s="986" t="s">
        <v>1662</v>
      </c>
      <c r="B190" s="616" t="s">
        <v>1656</v>
      </c>
      <c r="C190" s="984" t="s">
        <v>1652</v>
      </c>
      <c r="D190" s="682">
        <v>1</v>
      </c>
      <c r="E190" s="682"/>
      <c r="F190" s="985">
        <f>D190*E190</f>
        <v>0</v>
      </c>
      <c r="G190" s="159"/>
    </row>
    <row r="191" spans="1:7" s="101" customFormat="1">
      <c r="A191" s="827"/>
      <c r="B191" s="770" t="s">
        <v>1657</v>
      </c>
      <c r="C191" s="780"/>
      <c r="D191" s="785"/>
      <c r="E191" s="987"/>
      <c r="F191" s="988">
        <f>SUM(F187:F190)</f>
        <v>0</v>
      </c>
      <c r="G191" s="159"/>
    </row>
    <row r="192" spans="1:7" s="101" customFormat="1">
      <c r="A192" s="827"/>
      <c r="B192" s="770"/>
      <c r="C192" s="780"/>
      <c r="D192" s="785"/>
      <c r="E192" s="987"/>
      <c r="F192" s="988"/>
      <c r="G192" s="159"/>
    </row>
    <row r="193" spans="1:7" s="158" customFormat="1" ht="15.5">
      <c r="A193" s="722"/>
      <c r="B193" s="599" t="s">
        <v>1933</v>
      </c>
      <c r="C193" s="583"/>
      <c r="D193" s="602"/>
      <c r="E193" s="600"/>
      <c r="F193" s="750"/>
      <c r="G193" s="170"/>
    </row>
    <row r="194" spans="1:7" s="158" customFormat="1" ht="15.5">
      <c r="A194" s="722"/>
      <c r="B194" s="599"/>
      <c r="C194" s="583"/>
      <c r="D194" s="602"/>
      <c r="E194" s="600"/>
      <c r="F194" s="750"/>
      <c r="G194" s="170"/>
    </row>
    <row r="195" spans="1:7" s="158" customFormat="1" ht="15.5">
      <c r="A195" s="722"/>
      <c r="B195" s="599" t="s">
        <v>437</v>
      </c>
      <c r="C195" s="583"/>
      <c r="D195" s="602"/>
      <c r="E195" s="600"/>
      <c r="F195" s="749">
        <f>F39</f>
        <v>0</v>
      </c>
      <c r="G195" s="170"/>
    </row>
    <row r="196" spans="1:7" s="158" customFormat="1" ht="15.5">
      <c r="A196" s="722"/>
      <c r="B196" s="599"/>
      <c r="C196" s="583"/>
      <c r="D196" s="602"/>
      <c r="E196" s="600"/>
      <c r="F196" s="749"/>
      <c r="G196" s="170"/>
    </row>
    <row r="197" spans="1:7" s="158" customFormat="1" ht="15.5">
      <c r="A197" s="722"/>
      <c r="B197" s="599" t="s">
        <v>1063</v>
      </c>
      <c r="C197" s="583"/>
      <c r="D197" s="602"/>
      <c r="E197" s="600"/>
      <c r="F197" s="749">
        <f>F60</f>
        <v>0</v>
      </c>
      <c r="G197" s="170"/>
    </row>
    <row r="198" spans="1:7" s="158" customFormat="1" ht="15.5">
      <c r="A198" s="722"/>
      <c r="B198" s="599"/>
      <c r="C198" s="583"/>
      <c r="D198" s="602"/>
      <c r="E198" s="600"/>
      <c r="F198" s="749"/>
      <c r="G198" s="170"/>
    </row>
    <row r="199" spans="1:7" s="158" customFormat="1" ht="15.5">
      <c r="A199" s="722"/>
      <c r="B199" s="599" t="s">
        <v>1071</v>
      </c>
      <c r="C199" s="583"/>
      <c r="D199" s="602"/>
      <c r="E199" s="600"/>
      <c r="F199" s="749">
        <f>F72</f>
        <v>0</v>
      </c>
      <c r="G199" s="170"/>
    </row>
    <row r="200" spans="1:7" s="158" customFormat="1" ht="15.5">
      <c r="A200" s="722"/>
      <c r="B200" s="599"/>
      <c r="C200" s="583"/>
      <c r="D200" s="602"/>
      <c r="E200" s="600"/>
      <c r="F200" s="749"/>
      <c r="G200" s="170"/>
    </row>
    <row r="201" spans="1:7" s="158" customFormat="1" ht="15.5">
      <c r="A201" s="722"/>
      <c r="B201" s="599" t="s">
        <v>1162</v>
      </c>
      <c r="C201" s="583"/>
      <c r="D201" s="602"/>
      <c r="E201" s="600"/>
      <c r="F201" s="749">
        <f>F102</f>
        <v>0</v>
      </c>
      <c r="G201" s="170"/>
    </row>
    <row r="202" spans="1:7" s="158" customFormat="1" ht="15.5">
      <c r="A202" s="722"/>
      <c r="B202" s="599"/>
      <c r="C202" s="583"/>
      <c r="D202" s="602"/>
      <c r="E202" s="600"/>
      <c r="F202" s="749"/>
      <c r="G202" s="170"/>
    </row>
    <row r="203" spans="1:7" s="158" customFormat="1" ht="15.5">
      <c r="A203" s="722"/>
      <c r="B203" s="599" t="s">
        <v>1168</v>
      </c>
      <c r="C203" s="583"/>
      <c r="D203" s="602"/>
      <c r="E203" s="600"/>
      <c r="F203" s="749">
        <f>F117</f>
        <v>0</v>
      </c>
      <c r="G203" s="170"/>
    </row>
    <row r="204" spans="1:7" s="158" customFormat="1" ht="15.5">
      <c r="A204" s="722"/>
      <c r="B204" s="599"/>
      <c r="C204" s="583"/>
      <c r="D204" s="602"/>
      <c r="E204" s="600"/>
      <c r="F204" s="749"/>
      <c r="G204" s="170"/>
    </row>
    <row r="205" spans="1:7" s="158" customFormat="1" ht="15.5">
      <c r="A205" s="722"/>
      <c r="B205" s="747" t="s">
        <v>1177</v>
      </c>
      <c r="C205" s="636"/>
      <c r="D205" s="731"/>
      <c r="E205" s="730"/>
      <c r="F205" s="980">
        <f>F121</f>
        <v>0</v>
      </c>
      <c r="G205" s="170"/>
    </row>
    <row r="206" spans="1:7" s="158" customFormat="1" ht="15.5">
      <c r="A206" s="722"/>
      <c r="B206" s="747"/>
      <c r="C206" s="636"/>
      <c r="D206" s="731"/>
      <c r="E206" s="730"/>
      <c r="F206" s="980"/>
      <c r="G206" s="170"/>
    </row>
    <row r="207" spans="1:7" s="158" customFormat="1" ht="15.5">
      <c r="A207" s="722"/>
      <c r="B207" s="747" t="s">
        <v>1077</v>
      </c>
      <c r="C207" s="636"/>
      <c r="D207" s="731"/>
      <c r="E207" s="730"/>
      <c r="F207" s="980">
        <f>F151</f>
        <v>0</v>
      </c>
      <c r="G207" s="170"/>
    </row>
    <row r="208" spans="1:7" s="158" customFormat="1" ht="15.5">
      <c r="A208" s="722"/>
      <c r="B208" s="747"/>
      <c r="C208" s="636"/>
      <c r="D208" s="731"/>
      <c r="E208" s="730"/>
      <c r="F208" s="980"/>
      <c r="G208" s="170"/>
    </row>
    <row r="209" spans="1:7" s="158" customFormat="1" ht="15.5">
      <c r="A209" s="722"/>
      <c r="B209" s="734" t="s">
        <v>1180</v>
      </c>
      <c r="C209" s="636"/>
      <c r="D209" s="731"/>
      <c r="E209" s="730"/>
      <c r="F209" s="980">
        <f>F169</f>
        <v>0</v>
      </c>
      <c r="G209" s="170"/>
    </row>
    <row r="210" spans="1:7" s="158" customFormat="1" ht="15.5">
      <c r="A210" s="722"/>
      <c r="B210" s="747"/>
      <c r="C210" s="636"/>
      <c r="D210" s="731"/>
      <c r="E210" s="730"/>
      <c r="F210" s="980"/>
      <c r="G210" s="170"/>
    </row>
    <row r="211" spans="1:7" s="158" customFormat="1" ht="15.5">
      <c r="A211" s="722"/>
      <c r="B211" s="734" t="str">
        <f>B171</f>
        <v>BILL NO. 9: FANS and AC</v>
      </c>
      <c r="C211" s="636"/>
      <c r="D211" s="731"/>
      <c r="E211" s="730"/>
      <c r="F211" s="980">
        <f>F177</f>
        <v>0</v>
      </c>
      <c r="G211" s="170"/>
    </row>
    <row r="212" spans="1:7" s="158" customFormat="1" ht="15.5">
      <c r="A212" s="722"/>
      <c r="B212" s="747"/>
      <c r="C212" s="636"/>
      <c r="D212" s="731"/>
      <c r="E212" s="730"/>
      <c r="F212" s="980"/>
      <c r="G212" s="170"/>
    </row>
    <row r="213" spans="1:7" s="158" customFormat="1" ht="15.5">
      <c r="A213" s="722"/>
      <c r="B213" s="747" t="str">
        <f>B182</f>
        <v xml:space="preserve">ELEMENT NO. 10 WASH AREA FOR PRAYERS </v>
      </c>
      <c r="C213" s="636"/>
      <c r="D213" s="731"/>
      <c r="E213" s="730"/>
      <c r="F213" s="980">
        <f>F184</f>
        <v>0</v>
      </c>
      <c r="G213" s="170"/>
    </row>
    <row r="214" spans="1:7" s="158" customFormat="1" ht="15.5">
      <c r="A214" s="722"/>
      <c r="B214" s="747"/>
      <c r="C214" s="636"/>
      <c r="D214" s="731"/>
      <c r="E214" s="730"/>
      <c r="F214" s="980"/>
      <c r="G214" s="170"/>
    </row>
    <row r="215" spans="1:7" s="158" customFormat="1" ht="15.5">
      <c r="A215" s="722"/>
      <c r="B215" s="747" t="str">
        <f>B186</f>
        <v>ELEMENT NO. 11: SOAK PIT 1 No.</v>
      </c>
      <c r="C215" s="636"/>
      <c r="D215" s="731"/>
      <c r="E215" s="730"/>
      <c r="F215" s="980">
        <f>F191</f>
        <v>0</v>
      </c>
      <c r="G215" s="170"/>
    </row>
    <row r="216" spans="1:7" s="158" customFormat="1" ht="15.5">
      <c r="A216" s="722"/>
      <c r="B216" s="747"/>
      <c r="C216" s="636"/>
      <c r="D216" s="731"/>
      <c r="E216" s="730"/>
      <c r="F216" s="980"/>
      <c r="G216" s="170"/>
    </row>
    <row r="217" spans="1:7" s="158" customFormat="1" ht="15.5">
      <c r="A217" s="722"/>
      <c r="B217" s="747"/>
      <c r="C217" s="636"/>
      <c r="D217" s="731"/>
      <c r="E217" s="730"/>
      <c r="F217" s="980"/>
      <c r="G217" s="170"/>
    </row>
    <row r="218" spans="1:7" s="158" customFormat="1" ht="15.5">
      <c r="A218" s="722"/>
      <c r="B218" s="747"/>
      <c r="C218" s="636"/>
      <c r="D218" s="731"/>
      <c r="E218" s="730"/>
      <c r="F218" s="980"/>
      <c r="G218" s="170"/>
    </row>
    <row r="219" spans="1:7" s="101" customFormat="1" ht="15.5">
      <c r="A219" s="678"/>
      <c r="B219" s="752" t="s">
        <v>587</v>
      </c>
      <c r="C219" s="753"/>
      <c r="D219" s="754"/>
      <c r="E219" s="755"/>
      <c r="F219" s="818">
        <f>SUM(F195:F216)</f>
        <v>0</v>
      </c>
      <c r="G219" s="940"/>
    </row>
    <row r="220" spans="1:7">
      <c r="A220" s="670"/>
      <c r="B220" s="588"/>
      <c r="C220" s="598"/>
      <c r="D220" s="585"/>
      <c r="E220" s="607"/>
      <c r="F220" s="587"/>
      <c r="G220" s="186"/>
    </row>
    <row r="221" spans="1:7">
      <c r="A221" s="670"/>
      <c r="B221" s="588"/>
      <c r="C221" s="598"/>
      <c r="D221" s="585"/>
      <c r="E221" s="607"/>
      <c r="F221" s="587"/>
      <c r="G221" s="186"/>
    </row>
    <row r="222" spans="1:7">
      <c r="A222" s="670"/>
      <c r="B222" s="588"/>
      <c r="C222" s="598"/>
      <c r="D222" s="585"/>
      <c r="E222" s="607"/>
      <c r="F222" s="587"/>
      <c r="G222" s="186"/>
    </row>
  </sheetData>
  <pageMargins left="0.7" right="0.7" top="0.75" bottom="0.75" header="0.3" footer="0.3"/>
  <pageSetup scale="76" orientation="portrait" r:id="rId1"/>
  <rowBreaks count="2" manualBreakCount="2">
    <brk id="85" max="5" man="1"/>
    <brk id="15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07"/>
  <sheetViews>
    <sheetView view="pageBreakPreview" zoomScale="131" zoomScaleNormal="100" zoomScaleSheetLayoutView="131" workbookViewId="0">
      <pane xSplit="1" ySplit="3" topLeftCell="B4" activePane="bottomRight" state="frozen"/>
      <selection pane="topRight" activeCell="B1" sqref="B1"/>
      <selection pane="bottomLeft" activeCell="A4" sqref="A4"/>
      <selection pane="bottomRight" activeCell="G1" sqref="G1:T1048576"/>
    </sheetView>
  </sheetViews>
  <sheetFormatPr defaultColWidth="9.08984375" defaultRowHeight="14.5"/>
  <cols>
    <col min="1" max="1" width="6.54296875" style="172" bestFit="1" customWidth="1"/>
    <col min="2" max="2" width="51.90625" style="135" customWidth="1"/>
    <col min="3" max="3" width="5.453125" style="133" bestFit="1" customWidth="1"/>
    <col min="4" max="4" width="6.6328125" style="134" bestFit="1" customWidth="1"/>
    <col min="5" max="5" width="7" style="136" bestFit="1" customWidth="1"/>
    <col min="6" max="6" width="11.36328125" style="173" bestFit="1" customWidth="1"/>
    <col min="7" max="7" width="12.6328125" style="129" bestFit="1" customWidth="1"/>
    <col min="8" max="17" width="9.08984375" style="129"/>
    <col min="18" max="18" width="6.08984375" style="129" customWidth="1"/>
    <col min="19" max="16384" width="9.08984375" style="129"/>
  </cols>
  <sheetData>
    <row r="1" spans="1:7">
      <c r="A1" s="668" t="s">
        <v>0</v>
      </c>
      <c r="B1" s="669" t="s">
        <v>1</v>
      </c>
      <c r="C1" s="592" t="s">
        <v>2</v>
      </c>
      <c r="D1" s="593" t="s">
        <v>426</v>
      </c>
      <c r="E1" s="594" t="s">
        <v>368</v>
      </c>
      <c r="F1" s="595" t="s">
        <v>472</v>
      </c>
      <c r="G1" s="186"/>
    </row>
    <row r="2" spans="1:7" s="131" customFormat="1">
      <c r="A2" s="670"/>
      <c r="B2" s="584" t="s">
        <v>859</v>
      </c>
      <c r="C2" s="671"/>
      <c r="D2" s="672"/>
      <c r="E2" s="607"/>
      <c r="F2" s="587"/>
    </row>
    <row r="3" spans="1:7" s="159" customFormat="1">
      <c r="A3" s="678">
        <v>4</v>
      </c>
      <c r="B3" s="674" t="s">
        <v>1223</v>
      </c>
      <c r="C3" s="648"/>
      <c r="D3" s="617"/>
      <c r="E3" s="618"/>
      <c r="F3" s="675"/>
    </row>
    <row r="4" spans="1:7" s="131" customFormat="1">
      <c r="A4" s="677"/>
      <c r="B4" s="599"/>
      <c r="C4" s="597"/>
      <c r="D4" s="606"/>
      <c r="E4" s="586"/>
      <c r="F4" s="612"/>
    </row>
    <row r="5" spans="1:7" s="131" customFormat="1">
      <c r="A5" s="676">
        <v>4.0999999999999996</v>
      </c>
      <c r="B5" s="584" t="s">
        <v>596</v>
      </c>
      <c r="C5" s="597"/>
      <c r="D5" s="606"/>
      <c r="E5" s="586"/>
      <c r="F5" s="612"/>
    </row>
    <row r="6" spans="1:7" s="131" customFormat="1" ht="29">
      <c r="A6" s="677" t="s">
        <v>602</v>
      </c>
      <c r="B6" s="590" t="s">
        <v>597</v>
      </c>
      <c r="C6" s="617" t="s">
        <v>33</v>
      </c>
      <c r="D6" s="606">
        <v>125</v>
      </c>
      <c r="E6" s="586"/>
      <c r="F6" s="612">
        <f>D6*E6</f>
        <v>0</v>
      </c>
    </row>
    <row r="7" spans="1:7" s="131" customFormat="1" ht="29">
      <c r="A7" s="677" t="s">
        <v>1339</v>
      </c>
      <c r="B7" s="590" t="s">
        <v>438</v>
      </c>
      <c r="C7" s="617" t="s">
        <v>33</v>
      </c>
      <c r="D7" s="606">
        <f>D6</f>
        <v>125</v>
      </c>
      <c r="E7" s="586"/>
      <c r="F7" s="612">
        <f t="shared" ref="F7:F22" si="0">D7*E7</f>
        <v>0</v>
      </c>
    </row>
    <row r="8" spans="1:7" s="159" customFormat="1" ht="29">
      <c r="A8" s="677" t="s">
        <v>1340</v>
      </c>
      <c r="B8" s="616" t="s">
        <v>1331</v>
      </c>
      <c r="C8" s="617" t="s">
        <v>1050</v>
      </c>
      <c r="D8" s="617">
        <v>13</v>
      </c>
      <c r="E8" s="618"/>
      <c r="F8" s="619">
        <f t="shared" si="0"/>
        <v>0</v>
      </c>
    </row>
    <row r="9" spans="1:7" s="159" customFormat="1" ht="16.5">
      <c r="A9" s="677" t="s">
        <v>1341</v>
      </c>
      <c r="B9" s="616" t="s">
        <v>1257</v>
      </c>
      <c r="C9" s="617" t="s">
        <v>842</v>
      </c>
      <c r="D9" s="617">
        <v>10</v>
      </c>
      <c r="E9" s="618"/>
      <c r="F9" s="619">
        <f t="shared" si="0"/>
        <v>0</v>
      </c>
    </row>
    <row r="10" spans="1:7" s="159" customFormat="1" ht="16.5">
      <c r="A10" s="677" t="s">
        <v>1342</v>
      </c>
      <c r="B10" s="616" t="s">
        <v>1252</v>
      </c>
      <c r="C10" s="617" t="s">
        <v>842</v>
      </c>
      <c r="D10" s="617">
        <v>8</v>
      </c>
      <c r="E10" s="618"/>
      <c r="F10" s="619">
        <f t="shared" si="0"/>
        <v>0</v>
      </c>
    </row>
    <row r="11" spans="1:7" s="159" customFormat="1" ht="16.5">
      <c r="A11" s="677" t="s">
        <v>1343</v>
      </c>
      <c r="B11" s="616" t="s">
        <v>1253</v>
      </c>
      <c r="C11" s="617" t="s">
        <v>842</v>
      </c>
      <c r="D11" s="617">
        <v>8</v>
      </c>
      <c r="E11" s="618"/>
      <c r="F11" s="619">
        <f t="shared" si="0"/>
        <v>0</v>
      </c>
    </row>
    <row r="12" spans="1:7" s="159" customFormat="1">
      <c r="A12" s="677" t="s">
        <v>1344</v>
      </c>
      <c r="B12" s="616" t="s">
        <v>1254</v>
      </c>
      <c r="C12" s="617"/>
      <c r="D12" s="617"/>
      <c r="E12" s="618"/>
      <c r="F12" s="619"/>
    </row>
    <row r="13" spans="1:7" s="163" customFormat="1">
      <c r="A13" s="678"/>
      <c r="B13" s="674" t="s">
        <v>30</v>
      </c>
      <c r="C13" s="648"/>
      <c r="D13" s="617"/>
      <c r="E13" s="618"/>
      <c r="F13" s="679"/>
    </row>
    <row r="14" spans="1:7" s="131" customFormat="1" ht="29">
      <c r="A14" s="680" t="s">
        <v>1345</v>
      </c>
      <c r="B14" s="590" t="s">
        <v>448</v>
      </c>
      <c r="C14" s="617" t="s">
        <v>33</v>
      </c>
      <c r="D14" s="606">
        <f>D7</f>
        <v>125</v>
      </c>
      <c r="E14" s="586"/>
      <c r="F14" s="612">
        <f t="shared" si="0"/>
        <v>0</v>
      </c>
    </row>
    <row r="15" spans="1:7" s="131" customFormat="1" ht="29">
      <c r="A15" s="680" t="s">
        <v>1346</v>
      </c>
      <c r="B15" s="590" t="s">
        <v>367</v>
      </c>
      <c r="C15" s="617" t="s">
        <v>33</v>
      </c>
      <c r="D15" s="606">
        <f>D14</f>
        <v>125</v>
      </c>
      <c r="E15" s="586"/>
      <c r="F15" s="612">
        <f t="shared" si="0"/>
        <v>0</v>
      </c>
    </row>
    <row r="16" spans="1:7" s="131" customFormat="1">
      <c r="A16" s="677"/>
      <c r="B16" s="584" t="s">
        <v>35</v>
      </c>
      <c r="C16" s="597"/>
      <c r="D16" s="606"/>
      <c r="E16" s="586"/>
      <c r="F16" s="612">
        <f t="shared" si="0"/>
        <v>0</v>
      </c>
    </row>
    <row r="17" spans="1:7" s="131" customFormat="1" ht="45.75" customHeight="1">
      <c r="A17" s="677" t="s">
        <v>1347</v>
      </c>
      <c r="B17" s="590" t="s">
        <v>593</v>
      </c>
      <c r="C17" s="617" t="s">
        <v>33</v>
      </c>
      <c r="D17" s="606">
        <f>D15</f>
        <v>125</v>
      </c>
      <c r="E17" s="586"/>
      <c r="F17" s="612">
        <f t="shared" si="0"/>
        <v>0</v>
      </c>
    </row>
    <row r="18" spans="1:7" s="131" customFormat="1">
      <c r="A18" s="677"/>
      <c r="B18" s="584" t="s">
        <v>38</v>
      </c>
      <c r="C18" s="597"/>
      <c r="D18" s="606"/>
      <c r="E18" s="586"/>
      <c r="F18" s="612">
        <f t="shared" si="0"/>
        <v>0</v>
      </c>
    </row>
    <row r="19" spans="1:7" s="131" customFormat="1" ht="46.5" customHeight="1">
      <c r="A19" s="677" t="s">
        <v>1348</v>
      </c>
      <c r="B19" s="590" t="s">
        <v>594</v>
      </c>
      <c r="C19" s="617" t="s">
        <v>33</v>
      </c>
      <c r="D19" s="606">
        <f>D17</f>
        <v>125</v>
      </c>
      <c r="E19" s="586"/>
      <c r="F19" s="612">
        <f t="shared" si="0"/>
        <v>0</v>
      </c>
    </row>
    <row r="20" spans="1:7" s="131" customFormat="1">
      <c r="A20" s="677" t="s">
        <v>1332</v>
      </c>
      <c r="B20" s="584" t="s">
        <v>443</v>
      </c>
      <c r="C20" s="597"/>
      <c r="D20" s="606"/>
      <c r="E20" s="586"/>
      <c r="F20" s="612">
        <f t="shared" si="0"/>
        <v>0</v>
      </c>
    </row>
    <row r="21" spans="1:7" s="131" customFormat="1" ht="29">
      <c r="A21" s="677" t="s">
        <v>1368</v>
      </c>
      <c r="B21" s="590" t="s">
        <v>1258</v>
      </c>
      <c r="C21" s="617" t="s">
        <v>33</v>
      </c>
      <c r="D21" s="606">
        <v>66</v>
      </c>
      <c r="E21" s="586"/>
      <c r="F21" s="612">
        <f t="shared" si="0"/>
        <v>0</v>
      </c>
    </row>
    <row r="22" spans="1:7" s="131" customFormat="1">
      <c r="A22" s="677"/>
      <c r="B22" s="584" t="s">
        <v>446</v>
      </c>
      <c r="C22" s="606"/>
      <c r="D22" s="606"/>
      <c r="E22" s="586"/>
      <c r="F22" s="612">
        <f t="shared" si="0"/>
        <v>0</v>
      </c>
    </row>
    <row r="23" spans="1:7" s="644" customFormat="1" ht="43.5">
      <c r="A23" s="681"/>
      <c r="B23" s="649" t="s">
        <v>1053</v>
      </c>
      <c r="C23" s="648"/>
      <c r="D23" s="618"/>
      <c r="E23" s="648"/>
      <c r="F23" s="682"/>
    </row>
    <row r="24" spans="1:7" s="644" customFormat="1">
      <c r="A24" s="681"/>
      <c r="B24" s="674" t="s">
        <v>1058</v>
      </c>
      <c r="C24" s="648"/>
      <c r="D24" s="618"/>
      <c r="E24" s="648"/>
      <c r="F24" s="682"/>
    </row>
    <row r="25" spans="1:7" s="644" customFormat="1">
      <c r="A25" s="681" t="s">
        <v>1369</v>
      </c>
      <c r="B25" s="616" t="s">
        <v>1054</v>
      </c>
      <c r="C25" s="648" t="s">
        <v>19</v>
      </c>
      <c r="D25" s="618">
        <v>70</v>
      </c>
      <c r="E25" s="648"/>
      <c r="F25" s="682">
        <f>E25*G26</f>
        <v>0</v>
      </c>
    </row>
    <row r="26" spans="1:7" s="644" customFormat="1">
      <c r="A26" s="681" t="s">
        <v>1370</v>
      </c>
      <c r="B26" s="616" t="s">
        <v>1055</v>
      </c>
      <c r="C26" s="648" t="s">
        <v>19</v>
      </c>
      <c r="D26" s="618">
        <v>170</v>
      </c>
      <c r="E26" s="648"/>
      <c r="F26" s="682">
        <f>E26*D26</f>
        <v>0</v>
      </c>
      <c r="G26" s="661"/>
    </row>
    <row r="27" spans="1:7" s="644" customFormat="1">
      <c r="A27" s="681"/>
      <c r="B27" s="674" t="s">
        <v>1062</v>
      </c>
      <c r="C27" s="648"/>
      <c r="D27" s="618"/>
      <c r="E27" s="648"/>
      <c r="F27" s="682"/>
      <c r="G27" s="646"/>
    </row>
    <row r="28" spans="1:7" s="644" customFormat="1">
      <c r="A28" s="681" t="s">
        <v>1371</v>
      </c>
      <c r="B28" s="616" t="s">
        <v>1054</v>
      </c>
      <c r="C28" s="648" t="s">
        <v>879</v>
      </c>
      <c r="D28" s="618">
        <v>220</v>
      </c>
      <c r="E28" s="648"/>
      <c r="F28" s="682">
        <f t="shared" ref="F28:F29" si="1">E28*D28</f>
        <v>0</v>
      </c>
    </row>
    <row r="29" spans="1:7" s="644" customFormat="1">
      <c r="A29" s="681" t="s">
        <v>1372</v>
      </c>
      <c r="B29" s="616" t="s">
        <v>1055</v>
      </c>
      <c r="C29" s="648" t="s">
        <v>879</v>
      </c>
      <c r="D29" s="618">
        <v>220</v>
      </c>
      <c r="E29" s="648"/>
      <c r="F29" s="682">
        <f t="shared" si="1"/>
        <v>0</v>
      </c>
      <c r="G29" s="661"/>
    </row>
    <row r="30" spans="1:7" s="644" customFormat="1">
      <c r="A30" s="681"/>
      <c r="B30" s="635" t="s">
        <v>1256</v>
      </c>
      <c r="C30" s="648"/>
      <c r="D30" s="648"/>
      <c r="E30" s="648"/>
      <c r="F30" s="682"/>
      <c r="G30" s="646"/>
    </row>
    <row r="31" spans="1:7" s="644" customFormat="1">
      <c r="A31" s="681" t="s">
        <v>1373</v>
      </c>
      <c r="B31" s="616" t="s">
        <v>1054</v>
      </c>
      <c r="C31" s="648" t="s">
        <v>19</v>
      </c>
      <c r="D31" s="648">
        <v>40</v>
      </c>
      <c r="E31" s="648"/>
      <c r="F31" s="682">
        <f t="shared" ref="F31:F32" si="2">E31*D31</f>
        <v>0</v>
      </c>
      <c r="G31" s="646"/>
    </row>
    <row r="32" spans="1:7" s="644" customFormat="1">
      <c r="A32" s="681" t="s">
        <v>1374</v>
      </c>
      <c r="B32" s="616" t="s">
        <v>1055</v>
      </c>
      <c r="C32" s="648" t="s">
        <v>19</v>
      </c>
      <c r="D32" s="648">
        <v>200</v>
      </c>
      <c r="E32" s="648"/>
      <c r="F32" s="682">
        <f t="shared" si="2"/>
        <v>0</v>
      </c>
    </row>
    <row r="33" spans="1:198" s="644" customFormat="1">
      <c r="A33" s="681"/>
      <c r="B33" s="616"/>
      <c r="C33" s="648"/>
      <c r="D33" s="648"/>
      <c r="E33" s="648"/>
      <c r="F33" s="682"/>
    </row>
    <row r="34" spans="1:198" s="658" customFormat="1">
      <c r="A34" s="690"/>
      <c r="B34" s="635" t="s">
        <v>1323</v>
      </c>
      <c r="C34" s="639"/>
      <c r="D34" s="639"/>
      <c r="E34" s="639"/>
      <c r="F34" s="689">
        <f>SUM(F3:F32)</f>
        <v>0</v>
      </c>
    </row>
    <row r="35" spans="1:198">
      <c r="A35" s="668" t="s">
        <v>0</v>
      </c>
      <c r="B35" s="669" t="s">
        <v>1</v>
      </c>
      <c r="C35" s="592" t="s">
        <v>2</v>
      </c>
      <c r="D35" s="593" t="s">
        <v>426</v>
      </c>
      <c r="E35" s="594" t="s">
        <v>368</v>
      </c>
      <c r="F35" s="595" t="s">
        <v>472</v>
      </c>
      <c r="G35" s="186"/>
    </row>
    <row r="36" spans="1:198" s="131" customFormat="1">
      <c r="A36" s="668"/>
      <c r="B36" s="669" t="s">
        <v>1324</v>
      </c>
      <c r="C36" s="592"/>
      <c r="D36" s="593"/>
      <c r="E36" s="594"/>
      <c r="F36" s="595">
        <f>F34</f>
        <v>0</v>
      </c>
    </row>
    <row r="37" spans="1:198" s="159" customFormat="1" ht="29">
      <c r="A37" s="681" t="s">
        <v>1375</v>
      </c>
      <c r="B37" s="616" t="s">
        <v>447</v>
      </c>
      <c r="C37" s="617" t="s">
        <v>588</v>
      </c>
      <c r="D37" s="617">
        <f>D19</f>
        <v>125</v>
      </c>
      <c r="E37" s="618"/>
      <c r="F37" s="619">
        <f>D37*E37</f>
        <v>0</v>
      </c>
    </row>
    <row r="38" spans="1:198" s="159" customFormat="1">
      <c r="A38" s="615"/>
      <c r="B38" s="635" t="s">
        <v>440</v>
      </c>
      <c r="C38" s="648"/>
      <c r="D38" s="617"/>
      <c r="E38" s="618"/>
      <c r="F38" s="619"/>
    </row>
    <row r="39" spans="1:198" s="159" customFormat="1" ht="29">
      <c r="A39" s="615"/>
      <c r="B39" s="649" t="s">
        <v>236</v>
      </c>
      <c r="C39" s="648"/>
      <c r="D39" s="617"/>
      <c r="E39" s="618"/>
      <c r="F39" s="619">
        <f>D39*E39</f>
        <v>0</v>
      </c>
    </row>
    <row r="40" spans="1:198" s="159" customFormat="1" ht="16.5">
      <c r="A40" s="615" t="s">
        <v>1376</v>
      </c>
      <c r="B40" s="616" t="s">
        <v>442</v>
      </c>
      <c r="C40" s="617" t="s">
        <v>1050</v>
      </c>
      <c r="D40" s="617">
        <f>D37*0.15</f>
        <v>18.75</v>
      </c>
      <c r="E40" s="618"/>
      <c r="F40" s="619">
        <f>D40*E40</f>
        <v>0</v>
      </c>
    </row>
    <row r="41" spans="1:198" s="159" customFormat="1">
      <c r="A41" s="615" t="s">
        <v>1377</v>
      </c>
      <c r="B41" s="616" t="s">
        <v>1058</v>
      </c>
      <c r="C41" s="617" t="s">
        <v>1059</v>
      </c>
      <c r="D41" s="617">
        <f>(14.5*2+8.5*3)*0.3</f>
        <v>16.349999999999998</v>
      </c>
      <c r="E41" s="618"/>
      <c r="F41" s="619">
        <f t="shared" ref="F41:F42" si="3">D41*E41</f>
        <v>0</v>
      </c>
    </row>
    <row r="42" spans="1:198" s="159" customFormat="1" ht="16.75" customHeight="1">
      <c r="A42" s="615" t="s">
        <v>1378</v>
      </c>
      <c r="B42" s="616" t="s">
        <v>1061</v>
      </c>
      <c r="C42" s="617" t="s">
        <v>1059</v>
      </c>
      <c r="D42" s="617">
        <f>D41</f>
        <v>16.349999999999998</v>
      </c>
      <c r="E42" s="618"/>
      <c r="F42" s="619">
        <f t="shared" si="3"/>
        <v>0</v>
      </c>
    </row>
    <row r="43" spans="1:198" s="759" customFormat="1" ht="15.5">
      <c r="A43" s="693"/>
      <c r="B43" s="694" t="s">
        <v>1222</v>
      </c>
      <c r="C43" s="695"/>
      <c r="D43" s="695"/>
      <c r="E43" s="696"/>
      <c r="F43" s="697">
        <f>SUM(F36:F42)</f>
        <v>0</v>
      </c>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c r="CU43" s="164"/>
      <c r="CV43" s="164"/>
      <c r="CW43" s="164"/>
      <c r="CX43" s="164"/>
      <c r="CY43" s="164"/>
      <c r="CZ43" s="164"/>
      <c r="DA43" s="164"/>
      <c r="DB43" s="164"/>
      <c r="DC43" s="164"/>
      <c r="DD43" s="164"/>
      <c r="DE43" s="164"/>
      <c r="DF43" s="164"/>
      <c r="DG43" s="164"/>
      <c r="DH43" s="164"/>
      <c r="DI43" s="164"/>
      <c r="DJ43" s="164"/>
      <c r="DK43" s="164"/>
      <c r="DL43" s="164"/>
      <c r="DM43" s="164"/>
      <c r="DN43" s="164"/>
      <c r="DO43" s="164"/>
      <c r="DP43" s="164"/>
      <c r="DQ43" s="164"/>
      <c r="DR43" s="164"/>
      <c r="DS43" s="164"/>
      <c r="DT43" s="164"/>
      <c r="DU43" s="164"/>
      <c r="DV43" s="164"/>
      <c r="DW43" s="164"/>
      <c r="DX43" s="164"/>
      <c r="DY43" s="164"/>
      <c r="DZ43" s="164"/>
      <c r="EA43" s="164"/>
      <c r="EB43" s="164"/>
      <c r="EC43" s="164"/>
      <c r="ED43" s="164"/>
      <c r="EE43" s="164"/>
      <c r="EF43" s="164"/>
      <c r="EG43" s="164"/>
      <c r="EH43" s="164"/>
      <c r="EI43" s="164"/>
      <c r="EJ43" s="164"/>
      <c r="EK43" s="164"/>
      <c r="EL43" s="164"/>
      <c r="EM43" s="164"/>
      <c r="EN43" s="164"/>
      <c r="EO43" s="164"/>
      <c r="EP43" s="164"/>
      <c r="EQ43" s="164"/>
      <c r="ER43" s="164"/>
      <c r="ES43" s="164"/>
      <c r="ET43" s="164"/>
      <c r="EU43" s="164"/>
      <c r="EV43" s="164"/>
      <c r="EW43" s="164"/>
      <c r="EX43" s="164"/>
      <c r="EY43" s="164"/>
      <c r="EZ43" s="164"/>
      <c r="FA43" s="164"/>
      <c r="FB43" s="164"/>
      <c r="FC43" s="164"/>
      <c r="FD43" s="164"/>
      <c r="FE43" s="164"/>
      <c r="FF43" s="164"/>
      <c r="FG43" s="164"/>
      <c r="FH43" s="164"/>
      <c r="FI43" s="164"/>
      <c r="FJ43" s="164"/>
      <c r="FK43" s="164"/>
      <c r="FL43" s="164"/>
      <c r="FM43" s="164"/>
      <c r="FN43" s="164"/>
      <c r="FO43" s="164"/>
      <c r="FP43" s="164"/>
      <c r="FQ43" s="164"/>
      <c r="FR43" s="164"/>
      <c r="FS43" s="164"/>
      <c r="FT43" s="164"/>
      <c r="FU43" s="164"/>
      <c r="FV43" s="164"/>
      <c r="FW43" s="164"/>
      <c r="FX43" s="164"/>
      <c r="FY43" s="164"/>
      <c r="FZ43" s="164"/>
      <c r="GA43" s="164"/>
      <c r="GB43" s="164"/>
      <c r="GC43" s="164"/>
      <c r="GD43" s="164"/>
      <c r="GE43" s="164"/>
      <c r="GF43" s="164"/>
      <c r="GG43" s="164"/>
      <c r="GH43" s="164"/>
      <c r="GI43" s="164"/>
      <c r="GJ43" s="164"/>
      <c r="GK43" s="164"/>
      <c r="GL43" s="164"/>
      <c r="GM43" s="164"/>
      <c r="GN43" s="164"/>
      <c r="GO43" s="164"/>
      <c r="GP43" s="164"/>
    </row>
    <row r="44" spans="1:198" s="759" customFormat="1" ht="15.5">
      <c r="A44" s="693"/>
      <c r="B44" s="694"/>
      <c r="C44" s="695"/>
      <c r="D44" s="695"/>
      <c r="E44" s="696"/>
      <c r="F44" s="697"/>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4"/>
      <c r="DJ44" s="164"/>
      <c r="DK44" s="164"/>
      <c r="DL44" s="164"/>
      <c r="DM44" s="164"/>
      <c r="DN44" s="164"/>
      <c r="DO44" s="164"/>
      <c r="DP44" s="164"/>
      <c r="DQ44" s="164"/>
      <c r="DR44" s="164"/>
      <c r="DS44" s="164"/>
      <c r="DT44" s="164"/>
      <c r="DU44" s="164"/>
      <c r="DV44" s="164"/>
      <c r="DW44" s="164"/>
      <c r="DX44" s="164"/>
      <c r="DY44" s="164"/>
      <c r="DZ44" s="164"/>
      <c r="EA44" s="164"/>
      <c r="EB44" s="164"/>
      <c r="EC44" s="164"/>
      <c r="ED44" s="164"/>
      <c r="EE44" s="164"/>
      <c r="EF44" s="164"/>
      <c r="EG44" s="164"/>
      <c r="EH44" s="164"/>
      <c r="EI44" s="164"/>
      <c r="EJ44" s="164"/>
      <c r="EK44" s="164"/>
      <c r="EL44" s="164"/>
      <c r="EM44" s="164"/>
      <c r="EN44" s="164"/>
      <c r="EO44" s="164"/>
      <c r="EP44" s="164"/>
      <c r="EQ44" s="164"/>
      <c r="ER44" s="164"/>
      <c r="ES44" s="164"/>
      <c r="ET44" s="164"/>
      <c r="EU44" s="164"/>
      <c r="EV44" s="164"/>
      <c r="EW44" s="164"/>
      <c r="EX44" s="164"/>
      <c r="EY44" s="164"/>
      <c r="EZ44" s="164"/>
      <c r="FA44" s="164"/>
      <c r="FB44" s="164"/>
      <c r="FC44" s="164"/>
      <c r="FD44" s="164"/>
      <c r="FE44" s="164"/>
      <c r="FF44" s="164"/>
      <c r="FG44" s="164"/>
      <c r="FH44" s="164"/>
      <c r="FI44" s="164"/>
      <c r="FJ44" s="164"/>
      <c r="FK44" s="164"/>
      <c r="FL44" s="164"/>
      <c r="FM44" s="164"/>
      <c r="FN44" s="164"/>
      <c r="FO44" s="164"/>
      <c r="FP44" s="164"/>
      <c r="FQ44" s="164"/>
      <c r="FR44" s="164"/>
      <c r="FS44" s="164"/>
      <c r="FT44" s="164"/>
      <c r="FU44" s="164"/>
      <c r="FV44" s="164"/>
      <c r="FW44" s="164"/>
      <c r="FX44" s="164"/>
      <c r="FY44" s="164"/>
      <c r="FZ44" s="164"/>
      <c r="GA44" s="164"/>
      <c r="GB44" s="164"/>
      <c r="GC44" s="164"/>
      <c r="GD44" s="164"/>
      <c r="GE44" s="164"/>
      <c r="GF44" s="164"/>
      <c r="GG44" s="164"/>
      <c r="GH44" s="164"/>
      <c r="GI44" s="164"/>
      <c r="GJ44" s="164"/>
      <c r="GK44" s="164"/>
      <c r="GL44" s="164"/>
      <c r="GM44" s="164"/>
      <c r="GN44" s="164"/>
      <c r="GO44" s="164"/>
      <c r="GP44" s="164"/>
    </row>
    <row r="45" spans="1:198" s="159" customFormat="1">
      <c r="A45" s="678">
        <v>4</v>
      </c>
      <c r="B45" s="674" t="s">
        <v>1223</v>
      </c>
      <c r="C45" s="648"/>
      <c r="D45" s="617"/>
      <c r="E45" s="618"/>
      <c r="F45" s="675"/>
    </row>
    <row r="46" spans="1:198" s="652" customFormat="1">
      <c r="A46" s="634">
        <v>4.2</v>
      </c>
      <c r="B46" s="674" t="s">
        <v>1063</v>
      </c>
      <c r="C46" s="648"/>
      <c r="D46" s="617"/>
      <c r="E46" s="618"/>
      <c r="F46" s="683"/>
    </row>
    <row r="47" spans="1:198" s="652" customFormat="1">
      <c r="A47" s="615"/>
      <c r="B47" s="616"/>
      <c r="C47" s="648"/>
      <c r="D47" s="617"/>
      <c r="E47" s="618"/>
      <c r="F47" s="683"/>
    </row>
    <row r="48" spans="1:198" s="644" customFormat="1">
      <c r="A48" s="681"/>
      <c r="B48" s="649" t="s">
        <v>1064</v>
      </c>
      <c r="C48" s="648"/>
      <c r="D48" s="618"/>
      <c r="E48" s="648"/>
      <c r="F48" s="682"/>
    </row>
    <row r="49" spans="1:7" s="655" customFormat="1">
      <c r="A49" s="758" t="s">
        <v>603</v>
      </c>
      <c r="B49" s="685" t="s">
        <v>1065</v>
      </c>
      <c r="C49" s="686" t="s">
        <v>425</v>
      </c>
      <c r="D49" s="617">
        <v>11</v>
      </c>
      <c r="E49" s="686"/>
      <c r="F49" s="687">
        <f>E49*D49</f>
        <v>0</v>
      </c>
    </row>
    <row r="50" spans="1:7" s="159" customFormat="1" ht="16.5">
      <c r="A50" s="758" t="s">
        <v>1379</v>
      </c>
      <c r="B50" s="616" t="s">
        <v>1251</v>
      </c>
      <c r="C50" s="617" t="s">
        <v>608</v>
      </c>
      <c r="D50" s="617">
        <f>D37*0.15</f>
        <v>18.75</v>
      </c>
      <c r="E50" s="618"/>
      <c r="F50" s="619">
        <f>D50*E50</f>
        <v>0</v>
      </c>
    </row>
    <row r="51" spans="1:7" s="644" customFormat="1" ht="17.399999999999999" customHeight="1">
      <c r="A51" s="681"/>
      <c r="B51" s="649" t="s">
        <v>771</v>
      </c>
      <c r="C51" s="648"/>
      <c r="D51" s="618"/>
      <c r="E51" s="648"/>
      <c r="F51" s="682"/>
    </row>
    <row r="52" spans="1:7" s="644" customFormat="1">
      <c r="A52" s="681"/>
      <c r="B52" s="649" t="s">
        <v>772</v>
      </c>
      <c r="C52" s="648"/>
      <c r="D52" s="618"/>
      <c r="E52" s="648"/>
      <c r="F52" s="682"/>
    </row>
    <row r="53" spans="1:7" s="644" customFormat="1">
      <c r="A53" s="681" t="s">
        <v>1380</v>
      </c>
      <c r="B53" s="616" t="s">
        <v>1066</v>
      </c>
      <c r="C53" s="648" t="s">
        <v>19</v>
      </c>
      <c r="D53" s="617">
        <v>350</v>
      </c>
      <c r="E53" s="648"/>
      <c r="F53" s="682">
        <f>E53*D53</f>
        <v>0</v>
      </c>
    </row>
    <row r="54" spans="1:7" s="644" customFormat="1">
      <c r="A54" s="681" t="s">
        <v>1381</v>
      </c>
      <c r="B54" s="616" t="s">
        <v>1067</v>
      </c>
      <c r="C54" s="648" t="s">
        <v>19</v>
      </c>
      <c r="D54" s="618">
        <v>400</v>
      </c>
      <c r="E54" s="648"/>
      <c r="F54" s="682">
        <f>E54*D54</f>
        <v>0</v>
      </c>
      <c r="G54" s="661"/>
    </row>
    <row r="55" spans="1:7" s="644" customFormat="1">
      <c r="A55" s="681"/>
      <c r="B55" s="674" t="s">
        <v>1068</v>
      </c>
      <c r="C55" s="648"/>
      <c r="D55" s="618"/>
      <c r="E55" s="648"/>
      <c r="F55" s="682"/>
    </row>
    <row r="56" spans="1:7" s="644" customFormat="1">
      <c r="A56" s="681" t="s">
        <v>1381</v>
      </c>
      <c r="B56" s="616" t="s">
        <v>1069</v>
      </c>
      <c r="C56" s="648" t="s">
        <v>33</v>
      </c>
      <c r="D56" s="617">
        <v>200</v>
      </c>
      <c r="E56" s="648"/>
      <c r="F56" s="682">
        <f>D56*E56</f>
        <v>0</v>
      </c>
    </row>
    <row r="57" spans="1:7" s="159" customFormat="1">
      <c r="A57" s="681" t="s">
        <v>1382</v>
      </c>
      <c r="B57" s="616" t="s">
        <v>1251</v>
      </c>
      <c r="C57" s="617" t="s">
        <v>33</v>
      </c>
      <c r="D57" s="617">
        <f>D25</f>
        <v>70</v>
      </c>
      <c r="E57" s="618"/>
      <c r="F57" s="619">
        <f>D57*E57</f>
        <v>0</v>
      </c>
    </row>
    <row r="58" spans="1:7" s="658" customFormat="1">
      <c r="A58" s="635"/>
      <c r="B58" s="635" t="s">
        <v>1070</v>
      </c>
      <c r="C58" s="639"/>
      <c r="D58" s="688"/>
      <c r="E58" s="639"/>
      <c r="F58" s="689">
        <f>SUM(F46:F56)</f>
        <v>0</v>
      </c>
    </row>
    <row r="59" spans="1:7" s="658" customFormat="1">
      <c r="A59" s="635"/>
      <c r="B59" s="635"/>
      <c r="C59" s="639"/>
      <c r="D59" s="688"/>
      <c r="E59" s="639"/>
      <c r="F59" s="689"/>
    </row>
    <row r="60" spans="1:7" s="644" customFormat="1">
      <c r="A60" s="690">
        <v>4.3</v>
      </c>
      <c r="B60" s="674" t="s">
        <v>1071</v>
      </c>
      <c r="C60" s="648"/>
      <c r="D60" s="618"/>
      <c r="E60" s="648"/>
      <c r="F60" s="682"/>
    </row>
    <row r="61" spans="1:7" s="644" customFormat="1">
      <c r="A61" s="681"/>
      <c r="B61" s="649" t="s">
        <v>1072</v>
      </c>
      <c r="C61" s="648"/>
      <c r="D61" s="618"/>
      <c r="E61" s="648"/>
      <c r="F61" s="682"/>
    </row>
    <row r="62" spans="1:7" s="644" customFormat="1" ht="29">
      <c r="A62" s="681"/>
      <c r="B62" s="691" t="s">
        <v>1073</v>
      </c>
      <c r="C62" s="648"/>
      <c r="D62" s="618"/>
      <c r="E62" s="648"/>
      <c r="F62" s="682"/>
    </row>
    <row r="63" spans="1:7" s="644" customFormat="1">
      <c r="A63" s="681"/>
      <c r="B63" s="649" t="s">
        <v>52</v>
      </c>
      <c r="C63" s="648"/>
      <c r="D63" s="618"/>
      <c r="E63" s="648"/>
      <c r="F63" s="682"/>
    </row>
    <row r="64" spans="1:7" s="644" customFormat="1">
      <c r="A64" s="681"/>
      <c r="B64" s="649" t="s">
        <v>53</v>
      </c>
      <c r="C64" s="648"/>
      <c r="D64" s="618"/>
      <c r="E64" s="648"/>
      <c r="F64" s="682"/>
    </row>
    <row r="65" spans="1:198" s="644" customFormat="1">
      <c r="A65" s="681"/>
      <c r="B65" s="649" t="s">
        <v>54</v>
      </c>
      <c r="C65" s="648"/>
      <c r="D65" s="618"/>
      <c r="E65" s="648"/>
      <c r="F65" s="682"/>
    </row>
    <row r="66" spans="1:198" s="644" customFormat="1">
      <c r="A66" s="681" t="s">
        <v>1383</v>
      </c>
      <c r="B66" s="616" t="s">
        <v>1074</v>
      </c>
      <c r="C66" s="648" t="s">
        <v>33</v>
      </c>
      <c r="D66" s="692">
        <v>150</v>
      </c>
      <c r="E66" s="648"/>
      <c r="F66" s="682">
        <f>E66*D66</f>
        <v>0</v>
      </c>
    </row>
    <row r="67" spans="1:198" s="644" customFormat="1">
      <c r="A67" s="681" t="s">
        <v>1384</v>
      </c>
      <c r="B67" s="616" t="s">
        <v>1075</v>
      </c>
      <c r="C67" s="648" t="s">
        <v>33</v>
      </c>
      <c r="D67" s="692">
        <v>60</v>
      </c>
      <c r="E67" s="648"/>
      <c r="F67" s="682">
        <f>E67*D67</f>
        <v>0</v>
      </c>
    </row>
    <row r="68" spans="1:198" s="644" customFormat="1">
      <c r="A68" s="681" t="s">
        <v>1385</v>
      </c>
      <c r="B68" s="649" t="s">
        <v>1039</v>
      </c>
      <c r="C68" s="648"/>
      <c r="D68" s="618"/>
      <c r="E68" s="648"/>
      <c r="F68" s="682"/>
    </row>
    <row r="69" spans="1:198" s="644" customFormat="1">
      <c r="A69" s="681" t="s">
        <v>1386</v>
      </c>
      <c r="B69" s="616" t="s">
        <v>1040</v>
      </c>
      <c r="C69" s="648" t="s">
        <v>50</v>
      </c>
      <c r="D69" s="692">
        <v>70</v>
      </c>
      <c r="E69" s="648"/>
      <c r="F69" s="682">
        <f>E69*D69</f>
        <v>0</v>
      </c>
    </row>
    <row r="70" spans="1:198" s="644" customFormat="1">
      <c r="A70" s="681"/>
      <c r="B70" s="616"/>
      <c r="C70" s="648"/>
      <c r="D70" s="692"/>
      <c r="E70" s="648"/>
      <c r="F70" s="682"/>
    </row>
    <row r="71" spans="1:198" s="644" customFormat="1">
      <c r="A71" s="681"/>
      <c r="B71" s="616"/>
      <c r="C71" s="648"/>
      <c r="D71" s="692"/>
      <c r="E71" s="648"/>
      <c r="F71" s="682"/>
    </row>
    <row r="72" spans="1:198" s="644" customFormat="1" ht="29">
      <c r="A72" s="681"/>
      <c r="B72" s="635" t="s">
        <v>1076</v>
      </c>
      <c r="C72" s="639"/>
      <c r="D72" s="618"/>
      <c r="E72" s="648"/>
      <c r="F72" s="689">
        <f>SUM(F61:F69)</f>
        <v>0</v>
      </c>
    </row>
    <row r="73" spans="1:198" s="644" customFormat="1">
      <c r="A73" s="681"/>
      <c r="B73" s="635"/>
      <c r="C73" s="639"/>
      <c r="D73" s="618"/>
      <c r="E73" s="648"/>
      <c r="F73" s="689"/>
    </row>
    <row r="74" spans="1:198" s="644" customFormat="1">
      <c r="A74" s="681"/>
      <c r="B74" s="635"/>
      <c r="C74" s="639"/>
      <c r="D74" s="618"/>
      <c r="E74" s="648"/>
      <c r="F74" s="689"/>
    </row>
    <row r="75" spans="1:198" s="644" customFormat="1">
      <c r="A75" s="681"/>
      <c r="B75" s="635"/>
      <c r="C75" s="639"/>
      <c r="D75" s="618"/>
      <c r="E75" s="648"/>
      <c r="F75" s="689"/>
    </row>
    <row r="76" spans="1:198" s="644" customFormat="1">
      <c r="A76" s="681"/>
      <c r="B76" s="635"/>
      <c r="C76" s="639"/>
      <c r="D76" s="618"/>
      <c r="E76" s="648"/>
      <c r="F76" s="689"/>
    </row>
    <row r="77" spans="1:198">
      <c r="A77" s="668" t="s">
        <v>0</v>
      </c>
      <c r="B77" s="669" t="s">
        <v>1</v>
      </c>
      <c r="C77" s="592" t="s">
        <v>2</v>
      </c>
      <c r="D77" s="593" t="s">
        <v>426</v>
      </c>
      <c r="E77" s="594" t="s">
        <v>368</v>
      </c>
      <c r="F77" s="595" t="s">
        <v>472</v>
      </c>
      <c r="G77" s="186"/>
    </row>
    <row r="78" spans="1:198" s="644" customFormat="1">
      <c r="A78" s="681"/>
      <c r="B78" s="635" t="s">
        <v>1387</v>
      </c>
      <c r="C78" s="639"/>
      <c r="D78" s="618"/>
      <c r="E78" s="648"/>
      <c r="F78" s="689"/>
    </row>
    <row r="79" spans="1:198" s="759" customFormat="1" ht="31">
      <c r="A79" s="702" t="s">
        <v>34</v>
      </c>
      <c r="B79" s="703" t="s">
        <v>496</v>
      </c>
      <c r="C79" s="704" t="s">
        <v>34</v>
      </c>
      <c r="D79" s="704"/>
      <c r="E79" s="704"/>
      <c r="F79" s="705"/>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c r="CD79" s="164"/>
      <c r="CE79" s="164"/>
      <c r="CF79" s="164"/>
      <c r="CG79" s="164"/>
      <c r="CH79" s="164"/>
      <c r="CI79" s="164"/>
      <c r="CJ79" s="164"/>
      <c r="CK79" s="164"/>
      <c r="CL79" s="164"/>
      <c r="CM79" s="164"/>
      <c r="CN79" s="164"/>
      <c r="CO79" s="164"/>
      <c r="CP79" s="164"/>
      <c r="CQ79" s="164"/>
      <c r="CR79" s="164"/>
      <c r="CS79" s="164"/>
      <c r="CT79" s="164"/>
      <c r="CU79" s="164"/>
      <c r="CV79" s="164"/>
      <c r="CW79" s="164"/>
      <c r="CX79" s="164"/>
      <c r="CY79" s="164"/>
      <c r="CZ79" s="164"/>
      <c r="DA79" s="164"/>
      <c r="DB79" s="164"/>
      <c r="DC79" s="164"/>
      <c r="DD79" s="164"/>
      <c r="DE79" s="164"/>
      <c r="DF79" s="164"/>
      <c r="DG79" s="164"/>
      <c r="DH79" s="164"/>
      <c r="DI79" s="164"/>
      <c r="DJ79" s="164"/>
      <c r="DK79" s="164"/>
      <c r="DL79" s="164"/>
      <c r="DM79" s="164"/>
      <c r="DN79" s="164"/>
      <c r="DO79" s="164"/>
      <c r="DP79" s="164"/>
      <c r="DQ79" s="164"/>
      <c r="DR79" s="164"/>
      <c r="DS79" s="164"/>
      <c r="DT79" s="164"/>
      <c r="DU79" s="164"/>
      <c r="DV79" s="164"/>
      <c r="DW79" s="164"/>
      <c r="DX79" s="164"/>
      <c r="DY79" s="164"/>
      <c r="DZ79" s="164"/>
      <c r="EA79" s="164"/>
      <c r="EB79" s="164"/>
      <c r="EC79" s="164"/>
      <c r="ED79" s="164"/>
      <c r="EE79" s="164"/>
      <c r="EF79" s="164"/>
      <c r="EG79" s="164"/>
      <c r="EH79" s="164"/>
      <c r="EI79" s="164"/>
      <c r="EJ79" s="164"/>
      <c r="EK79" s="164"/>
      <c r="EL79" s="164"/>
      <c r="EM79" s="164"/>
      <c r="EN79" s="164"/>
      <c r="EO79" s="164"/>
      <c r="EP79" s="164"/>
      <c r="EQ79" s="164"/>
      <c r="ER79" s="164"/>
      <c r="ES79" s="164"/>
      <c r="ET79" s="164"/>
      <c r="EU79" s="164"/>
      <c r="EV79" s="164"/>
      <c r="EW79" s="164"/>
      <c r="EX79" s="164"/>
      <c r="EY79" s="164"/>
      <c r="EZ79" s="164"/>
      <c r="FA79" s="164"/>
      <c r="FB79" s="164"/>
      <c r="FC79" s="164"/>
      <c r="FD79" s="164"/>
      <c r="FE79" s="164"/>
      <c r="FF79" s="164"/>
      <c r="FG79" s="164"/>
      <c r="FH79" s="164"/>
      <c r="FI79" s="164"/>
      <c r="FJ79" s="164"/>
      <c r="FK79" s="164"/>
      <c r="FL79" s="164"/>
      <c r="FM79" s="164"/>
      <c r="FN79" s="164"/>
      <c r="FO79" s="164"/>
      <c r="FP79" s="164"/>
      <c r="FQ79" s="164"/>
      <c r="FR79" s="164"/>
      <c r="FS79" s="164"/>
      <c r="FT79" s="164"/>
      <c r="FU79" s="164"/>
      <c r="FV79" s="164"/>
      <c r="FW79" s="164"/>
      <c r="FX79" s="164"/>
      <c r="FY79" s="164"/>
      <c r="FZ79" s="164"/>
      <c r="GA79" s="164"/>
      <c r="GB79" s="164"/>
      <c r="GC79" s="164"/>
      <c r="GD79" s="164"/>
      <c r="GE79" s="164"/>
      <c r="GF79" s="164"/>
      <c r="GG79" s="164"/>
      <c r="GH79" s="164"/>
      <c r="GI79" s="164"/>
      <c r="GJ79" s="164"/>
      <c r="GK79" s="164"/>
      <c r="GL79" s="164"/>
      <c r="GM79" s="164"/>
      <c r="GN79" s="164"/>
      <c r="GO79" s="164"/>
      <c r="GP79" s="164"/>
    </row>
    <row r="80" spans="1:198" s="759" customFormat="1" ht="29.4" customHeight="1">
      <c r="A80" s="706" t="s">
        <v>1349</v>
      </c>
      <c r="B80" s="707" t="s">
        <v>497</v>
      </c>
      <c r="C80" s="606" t="s">
        <v>33</v>
      </c>
      <c r="D80" s="606">
        <f>CEILING(D6*1.4,1)</f>
        <v>175</v>
      </c>
      <c r="E80" s="586"/>
      <c r="F80" s="701">
        <f>D80*E80</f>
        <v>0</v>
      </c>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c r="BS80" s="164"/>
      <c r="BT80" s="164"/>
      <c r="BU80" s="164"/>
      <c r="BV80" s="164"/>
      <c r="BW80" s="164"/>
      <c r="BX80" s="164"/>
      <c r="BY80" s="164"/>
      <c r="BZ80" s="164"/>
      <c r="CA80" s="164"/>
      <c r="CB80" s="164"/>
      <c r="CC80" s="164"/>
      <c r="CD80" s="164"/>
      <c r="CE80" s="164"/>
      <c r="CF80" s="164"/>
      <c r="CG80" s="164"/>
      <c r="CH80" s="164"/>
      <c r="CI80" s="164"/>
      <c r="CJ80" s="164"/>
      <c r="CK80" s="164"/>
      <c r="CL80" s="164"/>
      <c r="CM80" s="164"/>
      <c r="CN80" s="164"/>
      <c r="CO80" s="164"/>
      <c r="CP80" s="164"/>
      <c r="CQ80" s="164"/>
      <c r="CR80" s="164"/>
      <c r="CS80" s="164"/>
      <c r="CT80" s="164"/>
      <c r="CU80" s="164"/>
      <c r="CV80" s="164"/>
      <c r="CW80" s="164"/>
      <c r="CX80" s="164"/>
      <c r="CY80" s="164"/>
      <c r="CZ80" s="164"/>
      <c r="DA80" s="164"/>
      <c r="DB80" s="164"/>
      <c r="DC80" s="164"/>
      <c r="DD80" s="164"/>
      <c r="DE80" s="164"/>
      <c r="DF80" s="164"/>
      <c r="DG80" s="164"/>
      <c r="DH80" s="164"/>
      <c r="DI80" s="164"/>
      <c r="DJ80" s="164"/>
      <c r="DK80" s="164"/>
      <c r="DL80" s="164"/>
      <c r="DM80" s="164"/>
      <c r="DN80" s="164"/>
      <c r="DO80" s="164"/>
      <c r="DP80" s="164"/>
      <c r="DQ80" s="164"/>
      <c r="DR80" s="164"/>
      <c r="DS80" s="164"/>
      <c r="DT80" s="164"/>
      <c r="DU80" s="164"/>
      <c r="DV80" s="164"/>
      <c r="DW80" s="164"/>
      <c r="DX80" s="164"/>
      <c r="DY80" s="164"/>
      <c r="DZ80" s="164"/>
      <c r="EA80" s="164"/>
      <c r="EB80" s="164"/>
      <c r="EC80" s="164"/>
      <c r="ED80" s="164"/>
      <c r="EE80" s="164"/>
      <c r="EF80" s="164"/>
      <c r="EG80" s="164"/>
      <c r="EH80" s="164"/>
      <c r="EI80" s="164"/>
      <c r="EJ80" s="164"/>
      <c r="EK80" s="164"/>
      <c r="EL80" s="164"/>
      <c r="EM80" s="164"/>
      <c r="EN80" s="164"/>
      <c r="EO80" s="164"/>
      <c r="EP80" s="164"/>
      <c r="EQ80" s="164"/>
      <c r="ER80" s="164"/>
      <c r="ES80" s="164"/>
      <c r="ET80" s="164"/>
      <c r="EU80" s="164"/>
      <c r="EV80" s="164"/>
      <c r="EW80" s="164"/>
      <c r="EX80" s="164"/>
      <c r="EY80" s="164"/>
      <c r="EZ80" s="164"/>
      <c r="FA80" s="164"/>
      <c r="FB80" s="164"/>
      <c r="FC80" s="164"/>
      <c r="FD80" s="164"/>
      <c r="FE80" s="164"/>
      <c r="FF80" s="164"/>
      <c r="FG80" s="164"/>
      <c r="FH80" s="164"/>
      <c r="FI80" s="164"/>
      <c r="FJ80" s="164"/>
      <c r="FK80" s="164"/>
      <c r="FL80" s="164"/>
      <c r="FM80" s="164"/>
      <c r="FN80" s="164"/>
      <c r="FO80" s="164"/>
      <c r="FP80" s="164"/>
      <c r="FQ80" s="164"/>
      <c r="FR80" s="164"/>
      <c r="FS80" s="164"/>
      <c r="FT80" s="164"/>
      <c r="FU80" s="164"/>
      <c r="FV80" s="164"/>
      <c r="FW80" s="164"/>
      <c r="FX80" s="164"/>
      <c r="FY80" s="164"/>
      <c r="FZ80" s="164"/>
      <c r="GA80" s="164"/>
      <c r="GB80" s="164"/>
      <c r="GC80" s="164"/>
      <c r="GD80" s="164"/>
      <c r="GE80" s="164"/>
      <c r="GF80" s="164"/>
      <c r="GG80" s="164"/>
      <c r="GH80" s="164"/>
      <c r="GI80" s="164"/>
      <c r="GJ80" s="164"/>
      <c r="GK80" s="164"/>
      <c r="GL80" s="164"/>
      <c r="GM80" s="164"/>
      <c r="GN80" s="164"/>
      <c r="GO80" s="164"/>
      <c r="GP80" s="164"/>
    </row>
    <row r="81" spans="1:198" s="759" customFormat="1" ht="15.5">
      <c r="A81" s="702" t="s">
        <v>1350</v>
      </c>
      <c r="B81" s="704" t="s">
        <v>379</v>
      </c>
      <c r="C81" s="617" t="s">
        <v>50</v>
      </c>
      <c r="D81" s="617">
        <f>25*5</f>
        <v>125</v>
      </c>
      <c r="E81" s="618"/>
      <c r="F81" s="701">
        <f t="shared" ref="F81:F86" si="4">D81*E81</f>
        <v>0</v>
      </c>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4"/>
      <c r="BR81" s="164"/>
      <c r="BS81" s="164"/>
      <c r="BT81" s="164"/>
      <c r="BU81" s="164"/>
      <c r="BV81" s="164"/>
      <c r="BW81" s="164"/>
      <c r="BX81" s="164"/>
      <c r="BY81" s="164"/>
      <c r="BZ81" s="164"/>
      <c r="CA81" s="164"/>
      <c r="CB81" s="164"/>
      <c r="CC81" s="164"/>
      <c r="CD81" s="164"/>
      <c r="CE81" s="164"/>
      <c r="CF81" s="164"/>
      <c r="CG81" s="164"/>
      <c r="CH81" s="164"/>
      <c r="CI81" s="164"/>
      <c r="CJ81" s="164"/>
      <c r="CK81" s="164"/>
      <c r="CL81" s="164"/>
      <c r="CM81" s="164"/>
      <c r="CN81" s="164"/>
      <c r="CO81" s="164"/>
      <c r="CP81" s="164"/>
      <c r="CQ81" s="164"/>
      <c r="CR81" s="164"/>
      <c r="CS81" s="164"/>
      <c r="CT81" s="164"/>
      <c r="CU81" s="164"/>
      <c r="CV81" s="164"/>
      <c r="CW81" s="164"/>
      <c r="CX81" s="164"/>
      <c r="CY81" s="164"/>
      <c r="CZ81" s="164"/>
      <c r="DA81" s="164"/>
      <c r="DB81" s="164"/>
      <c r="DC81" s="164"/>
      <c r="DD81" s="164"/>
      <c r="DE81" s="164"/>
      <c r="DF81" s="164"/>
      <c r="DG81" s="164"/>
      <c r="DH81" s="164"/>
      <c r="DI81" s="164"/>
      <c r="DJ81" s="164"/>
      <c r="DK81" s="164"/>
      <c r="DL81" s="164"/>
      <c r="DM81" s="164"/>
      <c r="DN81" s="164"/>
      <c r="DO81" s="164"/>
      <c r="DP81" s="164"/>
      <c r="DQ81" s="164"/>
      <c r="DR81" s="164"/>
      <c r="DS81" s="164"/>
      <c r="DT81" s="164"/>
      <c r="DU81" s="164"/>
      <c r="DV81" s="164"/>
      <c r="DW81" s="164"/>
      <c r="DX81" s="164"/>
      <c r="DY81" s="164"/>
      <c r="DZ81" s="164"/>
      <c r="EA81" s="164"/>
      <c r="EB81" s="164"/>
      <c r="EC81" s="164"/>
      <c r="ED81" s="164"/>
      <c r="EE81" s="164"/>
      <c r="EF81" s="164"/>
      <c r="EG81" s="164"/>
      <c r="EH81" s="164"/>
      <c r="EI81" s="164"/>
      <c r="EJ81" s="164"/>
      <c r="EK81" s="164"/>
      <c r="EL81" s="164"/>
      <c r="EM81" s="164"/>
      <c r="EN81" s="164"/>
      <c r="EO81" s="164"/>
      <c r="EP81" s="164"/>
      <c r="EQ81" s="164"/>
      <c r="ER81" s="164"/>
      <c r="ES81" s="164"/>
      <c r="ET81" s="164"/>
      <c r="EU81" s="164"/>
      <c r="EV81" s="164"/>
      <c r="EW81" s="164"/>
      <c r="EX81" s="164"/>
      <c r="EY81" s="164"/>
      <c r="EZ81" s="164"/>
      <c r="FA81" s="164"/>
      <c r="FB81" s="164"/>
      <c r="FC81" s="164"/>
      <c r="FD81" s="164"/>
      <c r="FE81" s="164"/>
      <c r="FF81" s="164"/>
      <c r="FG81" s="164"/>
      <c r="FH81" s="164"/>
      <c r="FI81" s="164"/>
      <c r="FJ81" s="164"/>
      <c r="FK81" s="164"/>
      <c r="FL81" s="164"/>
      <c r="FM81" s="164"/>
      <c r="FN81" s="164"/>
      <c r="FO81" s="164"/>
      <c r="FP81" s="164"/>
      <c r="FQ81" s="164"/>
      <c r="FR81" s="164"/>
      <c r="FS81" s="164"/>
      <c r="FT81" s="164"/>
      <c r="FU81" s="164"/>
      <c r="FV81" s="164"/>
      <c r="FW81" s="164"/>
      <c r="FX81" s="164"/>
      <c r="FY81" s="164"/>
      <c r="FZ81" s="164"/>
      <c r="GA81" s="164"/>
      <c r="GB81" s="164"/>
      <c r="GC81" s="164"/>
      <c r="GD81" s="164"/>
      <c r="GE81" s="164"/>
      <c r="GF81" s="164"/>
      <c r="GG81" s="164"/>
      <c r="GH81" s="164"/>
      <c r="GI81" s="164"/>
      <c r="GJ81" s="164"/>
      <c r="GK81" s="164"/>
      <c r="GL81" s="164"/>
      <c r="GM81" s="164"/>
      <c r="GN81" s="164"/>
      <c r="GO81" s="164"/>
      <c r="GP81" s="164"/>
    </row>
    <row r="82" spans="1:198" s="759" customFormat="1" ht="15.5">
      <c r="A82" s="706" t="s">
        <v>1351</v>
      </c>
      <c r="B82" s="704" t="s">
        <v>380</v>
      </c>
      <c r="C82" s="617" t="s">
        <v>50</v>
      </c>
      <c r="D82" s="617">
        <f>CEILING(13.4*8,1)</f>
        <v>108</v>
      </c>
      <c r="E82" s="618"/>
      <c r="F82" s="701">
        <f t="shared" si="4"/>
        <v>0</v>
      </c>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4"/>
      <c r="BX82" s="164"/>
      <c r="BY82" s="164"/>
      <c r="BZ82" s="164"/>
      <c r="CA82" s="164"/>
      <c r="CB82" s="164"/>
      <c r="CC82" s="164"/>
      <c r="CD82" s="164"/>
      <c r="CE82" s="164"/>
      <c r="CF82" s="164"/>
      <c r="CG82" s="164"/>
      <c r="CH82" s="164"/>
      <c r="CI82" s="164"/>
      <c r="CJ82" s="164"/>
      <c r="CK82" s="164"/>
      <c r="CL82" s="164"/>
      <c r="CM82" s="164"/>
      <c r="CN82" s="164"/>
      <c r="CO82" s="164"/>
      <c r="CP82" s="164"/>
      <c r="CQ82" s="164"/>
      <c r="CR82" s="164"/>
      <c r="CS82" s="164"/>
      <c r="CT82" s="164"/>
      <c r="CU82" s="164"/>
      <c r="CV82" s="164"/>
      <c r="CW82" s="164"/>
      <c r="CX82" s="164"/>
      <c r="CY82" s="164"/>
      <c r="CZ82" s="164"/>
      <c r="DA82" s="164"/>
      <c r="DB82" s="164"/>
      <c r="DC82" s="164"/>
      <c r="DD82" s="164"/>
      <c r="DE82" s="164"/>
      <c r="DF82" s="164"/>
      <c r="DG82" s="164"/>
      <c r="DH82" s="164"/>
      <c r="DI82" s="164"/>
      <c r="DJ82" s="164"/>
      <c r="DK82" s="164"/>
      <c r="DL82" s="164"/>
      <c r="DM82" s="164"/>
      <c r="DN82" s="164"/>
      <c r="DO82" s="164"/>
      <c r="DP82" s="164"/>
      <c r="DQ82" s="164"/>
      <c r="DR82" s="164"/>
      <c r="DS82" s="164"/>
      <c r="DT82" s="164"/>
      <c r="DU82" s="164"/>
      <c r="DV82" s="164"/>
      <c r="DW82" s="164"/>
      <c r="DX82" s="164"/>
      <c r="DY82" s="164"/>
      <c r="DZ82" s="164"/>
      <c r="EA82" s="164"/>
      <c r="EB82" s="164"/>
      <c r="EC82" s="164"/>
      <c r="ED82" s="164"/>
      <c r="EE82" s="164"/>
      <c r="EF82" s="164"/>
      <c r="EG82" s="164"/>
      <c r="EH82" s="164"/>
      <c r="EI82" s="164"/>
      <c r="EJ82" s="164"/>
      <c r="EK82" s="164"/>
      <c r="EL82" s="164"/>
      <c r="EM82" s="164"/>
      <c r="EN82" s="164"/>
      <c r="EO82" s="164"/>
      <c r="EP82" s="164"/>
      <c r="EQ82" s="164"/>
      <c r="ER82" s="164"/>
      <c r="ES82" s="164"/>
      <c r="ET82" s="164"/>
      <c r="EU82" s="164"/>
      <c r="EV82" s="164"/>
      <c r="EW82" s="164"/>
      <c r="EX82" s="164"/>
      <c r="EY82" s="164"/>
      <c r="EZ82" s="164"/>
      <c r="FA82" s="164"/>
      <c r="FB82" s="164"/>
      <c r="FC82" s="164"/>
      <c r="FD82" s="164"/>
      <c r="FE82" s="164"/>
      <c r="FF82" s="164"/>
      <c r="FG82" s="164"/>
      <c r="FH82" s="164"/>
      <c r="FI82" s="164"/>
      <c r="FJ82" s="164"/>
      <c r="FK82" s="164"/>
      <c r="FL82" s="164"/>
      <c r="FM82" s="164"/>
      <c r="FN82" s="164"/>
      <c r="FO82" s="164"/>
      <c r="FP82" s="164"/>
      <c r="FQ82" s="164"/>
      <c r="FR82" s="164"/>
      <c r="FS82" s="164"/>
      <c r="FT82" s="164"/>
      <c r="FU82" s="164"/>
      <c r="FV82" s="164"/>
      <c r="FW82" s="164"/>
      <c r="FX82" s="164"/>
      <c r="FY82" s="164"/>
      <c r="FZ82" s="164"/>
      <c r="GA82" s="164"/>
      <c r="GB82" s="164"/>
      <c r="GC82" s="164"/>
      <c r="GD82" s="164"/>
      <c r="GE82" s="164"/>
      <c r="GF82" s="164"/>
      <c r="GG82" s="164"/>
      <c r="GH82" s="164"/>
      <c r="GI82" s="164"/>
      <c r="GJ82" s="164"/>
      <c r="GK82" s="164"/>
      <c r="GL82" s="164"/>
      <c r="GM82" s="164"/>
      <c r="GN82" s="164"/>
      <c r="GO82" s="164"/>
      <c r="GP82" s="164"/>
    </row>
    <row r="83" spans="1:198" s="166" customFormat="1" ht="15.5">
      <c r="A83" s="702" t="s">
        <v>1352</v>
      </c>
      <c r="B83" s="704" t="s">
        <v>381</v>
      </c>
      <c r="C83" s="648" t="s">
        <v>50</v>
      </c>
      <c r="D83" s="617">
        <v>70</v>
      </c>
      <c r="E83" s="618"/>
      <c r="F83" s="701">
        <f t="shared" si="4"/>
        <v>0</v>
      </c>
    </row>
    <row r="84" spans="1:198" s="759" customFormat="1" ht="15.5">
      <c r="A84" s="706" t="s">
        <v>1352</v>
      </c>
      <c r="B84" s="704" t="s">
        <v>382</v>
      </c>
      <c r="C84" s="606" t="s">
        <v>50</v>
      </c>
      <c r="D84" s="606">
        <v>50</v>
      </c>
      <c r="E84" s="586"/>
      <c r="F84" s="701">
        <f t="shared" si="4"/>
        <v>0</v>
      </c>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64"/>
      <c r="BS84" s="164"/>
      <c r="BT84" s="164"/>
      <c r="BU84" s="164"/>
      <c r="BV84" s="164"/>
      <c r="BW84" s="164"/>
      <c r="BX84" s="164"/>
      <c r="BY84" s="164"/>
      <c r="BZ84" s="164"/>
      <c r="CA84" s="164"/>
      <c r="CB84" s="164"/>
      <c r="CC84" s="164"/>
      <c r="CD84" s="164"/>
      <c r="CE84" s="164"/>
      <c r="CF84" s="164"/>
      <c r="CG84" s="164"/>
      <c r="CH84" s="164"/>
      <c r="CI84" s="164"/>
      <c r="CJ84" s="164"/>
      <c r="CK84" s="164"/>
      <c r="CL84" s="164"/>
      <c r="CM84" s="164"/>
      <c r="CN84" s="164"/>
      <c r="CO84" s="164"/>
      <c r="CP84" s="164"/>
      <c r="CQ84" s="164"/>
      <c r="CR84" s="164"/>
      <c r="CS84" s="164"/>
      <c r="CT84" s="164"/>
      <c r="CU84" s="164"/>
      <c r="CV84" s="164"/>
      <c r="CW84" s="164"/>
      <c r="CX84" s="164"/>
      <c r="CY84" s="164"/>
      <c r="CZ84" s="164"/>
      <c r="DA84" s="164"/>
      <c r="DB84" s="164"/>
      <c r="DC84" s="164"/>
      <c r="DD84" s="164"/>
      <c r="DE84" s="164"/>
      <c r="DF84" s="164"/>
      <c r="DG84" s="164"/>
      <c r="DH84" s="164"/>
      <c r="DI84" s="164"/>
      <c r="DJ84" s="164"/>
      <c r="DK84" s="164"/>
      <c r="DL84" s="164"/>
      <c r="DM84" s="164"/>
      <c r="DN84" s="164"/>
      <c r="DO84" s="164"/>
      <c r="DP84" s="164"/>
      <c r="DQ84" s="164"/>
      <c r="DR84" s="164"/>
      <c r="DS84" s="164"/>
      <c r="DT84" s="164"/>
      <c r="DU84" s="164"/>
      <c r="DV84" s="164"/>
      <c r="DW84" s="164"/>
      <c r="DX84" s="164"/>
      <c r="DY84" s="164"/>
      <c r="DZ84" s="164"/>
      <c r="EA84" s="164"/>
      <c r="EB84" s="164"/>
      <c r="EC84" s="164"/>
      <c r="ED84" s="164"/>
      <c r="EE84" s="164"/>
      <c r="EF84" s="164"/>
      <c r="EG84" s="164"/>
      <c r="EH84" s="164"/>
      <c r="EI84" s="164"/>
      <c r="EJ84" s="164"/>
      <c r="EK84" s="164"/>
      <c r="EL84" s="164"/>
      <c r="EM84" s="164"/>
      <c r="EN84" s="164"/>
      <c r="EO84" s="164"/>
      <c r="EP84" s="164"/>
      <c r="EQ84" s="164"/>
      <c r="ER84" s="164"/>
      <c r="ES84" s="164"/>
      <c r="ET84" s="164"/>
      <c r="EU84" s="164"/>
      <c r="EV84" s="164"/>
      <c r="EW84" s="164"/>
      <c r="EX84" s="164"/>
      <c r="EY84" s="164"/>
      <c r="EZ84" s="164"/>
      <c r="FA84" s="164"/>
      <c r="FB84" s="164"/>
      <c r="FC84" s="164"/>
      <c r="FD84" s="164"/>
      <c r="FE84" s="164"/>
      <c r="FF84" s="164"/>
      <c r="FG84" s="164"/>
      <c r="FH84" s="164"/>
      <c r="FI84" s="164"/>
      <c r="FJ84" s="164"/>
      <c r="FK84" s="164"/>
      <c r="FL84" s="164"/>
      <c r="FM84" s="164"/>
      <c r="FN84" s="164"/>
      <c r="FO84" s="164"/>
      <c r="FP84" s="164"/>
      <c r="FQ84" s="164"/>
      <c r="FR84" s="164"/>
      <c r="FS84" s="164"/>
      <c r="FT84" s="164"/>
      <c r="FU84" s="164"/>
      <c r="FV84" s="164"/>
      <c r="FW84" s="164"/>
      <c r="FX84" s="164"/>
      <c r="FY84" s="164"/>
      <c r="FZ84" s="164"/>
      <c r="GA84" s="164"/>
      <c r="GB84" s="164"/>
      <c r="GC84" s="164"/>
      <c r="GD84" s="164"/>
      <c r="GE84" s="164"/>
      <c r="GF84" s="164"/>
      <c r="GG84" s="164"/>
      <c r="GH84" s="164"/>
      <c r="GI84" s="164"/>
      <c r="GJ84" s="164"/>
      <c r="GK84" s="164"/>
      <c r="GL84" s="164"/>
      <c r="GM84" s="164"/>
      <c r="GN84" s="164"/>
      <c r="GO84" s="164"/>
      <c r="GP84" s="164"/>
    </row>
    <row r="85" spans="1:198" s="166" customFormat="1" ht="19.25" customHeight="1">
      <c r="A85" s="702" t="s">
        <v>1353</v>
      </c>
      <c r="B85" s="704" t="s">
        <v>383</v>
      </c>
      <c r="C85" s="606" t="s">
        <v>50</v>
      </c>
      <c r="D85" s="606">
        <v>20</v>
      </c>
      <c r="E85" s="586"/>
      <c r="F85" s="701">
        <f t="shared" si="4"/>
        <v>0</v>
      </c>
    </row>
    <row r="86" spans="1:198" s="166" customFormat="1" ht="19.25" customHeight="1">
      <c r="A86" s="706" t="s">
        <v>1354</v>
      </c>
      <c r="B86" s="704" t="s">
        <v>384</v>
      </c>
      <c r="C86" s="606" t="s">
        <v>50</v>
      </c>
      <c r="D86" s="606">
        <v>6</v>
      </c>
      <c r="E86" s="586"/>
      <c r="F86" s="701">
        <f t="shared" si="4"/>
        <v>0</v>
      </c>
    </row>
    <row r="87" spans="1:198" s="159" customFormat="1" ht="15.5">
      <c r="A87" s="702" t="s">
        <v>34</v>
      </c>
      <c r="B87" s="708" t="s">
        <v>388</v>
      </c>
      <c r="C87" s="704" t="s">
        <v>34</v>
      </c>
      <c r="D87" s="704" t="s">
        <v>34</v>
      </c>
      <c r="E87" s="704"/>
      <c r="F87" s="709"/>
    </row>
    <row r="88" spans="1:198" s="166" customFormat="1" ht="31">
      <c r="A88" s="706" t="s">
        <v>1355</v>
      </c>
      <c r="B88" s="707" t="s">
        <v>522</v>
      </c>
      <c r="C88" s="606" t="s">
        <v>33</v>
      </c>
      <c r="D88" s="606">
        <v>24</v>
      </c>
      <c r="E88" s="586"/>
      <c r="F88" s="612">
        <f>D88*E88</f>
        <v>0</v>
      </c>
    </row>
    <row r="89" spans="1:198" s="759" customFormat="1" ht="29.4" customHeight="1">
      <c r="A89" s="706" t="s">
        <v>1356</v>
      </c>
      <c r="B89" s="707" t="s">
        <v>495</v>
      </c>
      <c r="C89" s="617" t="s">
        <v>33</v>
      </c>
      <c r="D89" s="617">
        <f>D88</f>
        <v>24</v>
      </c>
      <c r="E89" s="618"/>
      <c r="F89" s="612">
        <f>D89*E89</f>
        <v>0</v>
      </c>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c r="CO89" s="164"/>
      <c r="CP89" s="164"/>
      <c r="CQ89" s="164"/>
      <c r="CR89" s="164"/>
      <c r="CS89" s="164"/>
      <c r="CT89" s="164"/>
      <c r="CU89" s="164"/>
      <c r="CV89" s="164"/>
      <c r="CW89" s="164"/>
      <c r="CX89" s="164"/>
      <c r="CY89" s="164"/>
      <c r="CZ89" s="164"/>
      <c r="DA89" s="164"/>
      <c r="DB89" s="164"/>
      <c r="DC89" s="164"/>
      <c r="DD89" s="164"/>
      <c r="DE89" s="164"/>
      <c r="DF89" s="164"/>
      <c r="DG89" s="164"/>
      <c r="DH89" s="164"/>
      <c r="DI89" s="164"/>
      <c r="DJ89" s="164"/>
      <c r="DK89" s="164"/>
      <c r="DL89" s="164"/>
      <c r="DM89" s="164"/>
      <c r="DN89" s="164"/>
      <c r="DO89" s="164"/>
      <c r="DP89" s="164"/>
      <c r="DQ89" s="164"/>
      <c r="DR89" s="164"/>
      <c r="DS89" s="164"/>
      <c r="DT89" s="164"/>
      <c r="DU89" s="164"/>
      <c r="DV89" s="164"/>
      <c r="DW89" s="164"/>
      <c r="DX89" s="164"/>
      <c r="DY89" s="164"/>
      <c r="DZ89" s="164"/>
      <c r="EA89" s="164"/>
      <c r="EB89" s="164"/>
      <c r="EC89" s="164"/>
      <c r="ED89" s="164"/>
      <c r="EE89" s="164"/>
      <c r="EF89" s="164"/>
      <c r="EG89" s="164"/>
      <c r="EH89" s="164"/>
      <c r="EI89" s="164"/>
      <c r="EJ89" s="164"/>
      <c r="EK89" s="164"/>
      <c r="EL89" s="164"/>
      <c r="EM89" s="164"/>
      <c r="EN89" s="164"/>
      <c r="EO89" s="164"/>
      <c r="EP89" s="164"/>
      <c r="EQ89" s="164"/>
      <c r="ER89" s="164"/>
      <c r="ES89" s="164"/>
      <c r="ET89" s="164"/>
      <c r="EU89" s="164"/>
      <c r="EV89" s="164"/>
      <c r="EW89" s="164"/>
      <c r="EX89" s="164"/>
      <c r="EY89" s="164"/>
      <c r="EZ89" s="164"/>
      <c r="FA89" s="164"/>
      <c r="FB89" s="164"/>
      <c r="FC89" s="164"/>
      <c r="FD89" s="164"/>
      <c r="FE89" s="164"/>
      <c r="FF89" s="164"/>
      <c r="FG89" s="164"/>
      <c r="FH89" s="164"/>
      <c r="FI89" s="164"/>
      <c r="FJ89" s="164"/>
      <c r="FK89" s="164"/>
      <c r="FL89" s="164"/>
      <c r="FM89" s="164"/>
      <c r="FN89" s="164"/>
      <c r="FO89" s="164"/>
      <c r="FP89" s="164"/>
      <c r="FQ89" s="164"/>
      <c r="FR89" s="164"/>
      <c r="FS89" s="164"/>
      <c r="FT89" s="164"/>
      <c r="FU89" s="164"/>
      <c r="FV89" s="164"/>
      <c r="FW89" s="164"/>
      <c r="FX89" s="164"/>
      <c r="FY89" s="164"/>
      <c r="FZ89" s="164"/>
      <c r="GA89" s="164"/>
      <c r="GB89" s="164"/>
      <c r="GC89" s="164"/>
      <c r="GD89" s="164"/>
      <c r="GE89" s="164"/>
      <c r="GF89" s="164"/>
      <c r="GG89" s="164"/>
      <c r="GH89" s="164"/>
      <c r="GI89" s="164"/>
      <c r="GJ89" s="164"/>
      <c r="GK89" s="164"/>
      <c r="GL89" s="164"/>
      <c r="GM89" s="164"/>
      <c r="GN89" s="164"/>
      <c r="GO89" s="164"/>
      <c r="GP89" s="164"/>
    </row>
    <row r="90" spans="1:198" s="759" customFormat="1" ht="17.25" customHeight="1">
      <c r="A90" s="702" t="s">
        <v>1357</v>
      </c>
      <c r="B90" s="704" t="s">
        <v>391</v>
      </c>
      <c r="C90" s="617" t="s">
        <v>50</v>
      </c>
      <c r="D90" s="617">
        <v>43</v>
      </c>
      <c r="E90" s="618"/>
      <c r="F90" s="612">
        <f t="shared" ref="F90:F118" si="5">E90*D90</f>
        <v>0</v>
      </c>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c r="BS90" s="164"/>
      <c r="BT90" s="164"/>
      <c r="BU90" s="164"/>
      <c r="BV90" s="164"/>
      <c r="BW90" s="164"/>
      <c r="BX90" s="164"/>
      <c r="BY90" s="164"/>
      <c r="BZ90" s="164"/>
      <c r="CA90" s="164"/>
      <c r="CB90" s="164"/>
      <c r="CC90" s="164"/>
      <c r="CD90" s="164"/>
      <c r="CE90" s="164"/>
      <c r="CF90" s="164"/>
      <c r="CG90" s="164"/>
      <c r="CH90" s="164"/>
      <c r="CI90" s="164"/>
      <c r="CJ90" s="164"/>
      <c r="CK90" s="164"/>
      <c r="CL90" s="164"/>
      <c r="CM90" s="164"/>
      <c r="CN90" s="164"/>
      <c r="CO90" s="164"/>
      <c r="CP90" s="164"/>
      <c r="CQ90" s="164"/>
      <c r="CR90" s="164"/>
      <c r="CS90" s="164"/>
      <c r="CT90" s="164"/>
      <c r="CU90" s="164"/>
      <c r="CV90" s="164"/>
      <c r="CW90" s="164"/>
      <c r="CX90" s="164"/>
      <c r="CY90" s="164"/>
      <c r="CZ90" s="164"/>
      <c r="DA90" s="164"/>
      <c r="DB90" s="164"/>
      <c r="DC90" s="164"/>
      <c r="DD90" s="164"/>
      <c r="DE90" s="164"/>
      <c r="DF90" s="164"/>
      <c r="DG90" s="164"/>
      <c r="DH90" s="164"/>
      <c r="DI90" s="164"/>
      <c r="DJ90" s="164"/>
      <c r="DK90" s="164"/>
      <c r="DL90" s="164"/>
      <c r="DM90" s="164"/>
      <c r="DN90" s="164"/>
      <c r="DO90" s="164"/>
      <c r="DP90" s="164"/>
      <c r="DQ90" s="164"/>
      <c r="DR90" s="164"/>
      <c r="DS90" s="164"/>
      <c r="DT90" s="164"/>
      <c r="DU90" s="164"/>
      <c r="DV90" s="164"/>
      <c r="DW90" s="164"/>
      <c r="DX90" s="164"/>
      <c r="DY90" s="164"/>
      <c r="DZ90" s="164"/>
      <c r="EA90" s="164"/>
      <c r="EB90" s="164"/>
      <c r="EC90" s="164"/>
      <c r="ED90" s="164"/>
      <c r="EE90" s="164"/>
      <c r="EF90" s="164"/>
      <c r="EG90" s="164"/>
      <c r="EH90" s="164"/>
      <c r="EI90" s="164"/>
      <c r="EJ90" s="164"/>
      <c r="EK90" s="164"/>
      <c r="EL90" s="164"/>
      <c r="EM90" s="164"/>
      <c r="EN90" s="164"/>
      <c r="EO90" s="164"/>
      <c r="EP90" s="164"/>
      <c r="EQ90" s="164"/>
      <c r="ER90" s="164"/>
      <c r="ES90" s="164"/>
      <c r="ET90" s="164"/>
      <c r="EU90" s="164"/>
      <c r="EV90" s="164"/>
      <c r="EW90" s="164"/>
      <c r="EX90" s="164"/>
      <c r="EY90" s="164"/>
      <c r="EZ90" s="164"/>
      <c r="FA90" s="164"/>
      <c r="FB90" s="164"/>
      <c r="FC90" s="164"/>
      <c r="FD90" s="164"/>
      <c r="FE90" s="164"/>
      <c r="FF90" s="164"/>
      <c r="FG90" s="164"/>
      <c r="FH90" s="164"/>
      <c r="FI90" s="164"/>
      <c r="FJ90" s="164"/>
      <c r="FK90" s="164"/>
      <c r="FL90" s="164"/>
      <c r="FM90" s="164"/>
      <c r="FN90" s="164"/>
      <c r="FO90" s="164"/>
      <c r="FP90" s="164"/>
      <c r="FQ90" s="164"/>
      <c r="FR90" s="164"/>
      <c r="FS90" s="164"/>
      <c r="FT90" s="164"/>
      <c r="FU90" s="164"/>
      <c r="FV90" s="164"/>
      <c r="FW90" s="164"/>
      <c r="FX90" s="164"/>
      <c r="FY90" s="164"/>
      <c r="FZ90" s="164"/>
      <c r="GA90" s="164"/>
      <c r="GB90" s="164"/>
      <c r="GC90" s="164"/>
      <c r="GD90" s="164"/>
      <c r="GE90" s="164"/>
      <c r="GF90" s="164"/>
      <c r="GG90" s="164"/>
      <c r="GH90" s="164"/>
      <c r="GI90" s="164"/>
      <c r="GJ90" s="164"/>
      <c r="GK90" s="164"/>
      <c r="GL90" s="164"/>
      <c r="GM90" s="164"/>
      <c r="GN90" s="164"/>
      <c r="GO90" s="164"/>
      <c r="GP90" s="164"/>
    </row>
    <row r="91" spans="1:198" s="166" customFormat="1" ht="15.5">
      <c r="A91" s="800" t="s">
        <v>34</v>
      </c>
      <c r="B91" s="708" t="s">
        <v>395</v>
      </c>
      <c r="C91" s="648" t="s">
        <v>34</v>
      </c>
      <c r="D91" s="617" t="s">
        <v>34</v>
      </c>
      <c r="E91" s="618"/>
      <c r="F91" s="612"/>
    </row>
    <row r="92" spans="1:198" s="166" customFormat="1" ht="30.75" customHeight="1">
      <c r="A92" s="800" t="s">
        <v>1358</v>
      </c>
      <c r="B92" s="704" t="s">
        <v>396</v>
      </c>
      <c r="C92" s="606" t="s">
        <v>50</v>
      </c>
      <c r="D92" s="606">
        <f>D90</f>
        <v>43</v>
      </c>
      <c r="E92" s="586"/>
      <c r="F92" s="612">
        <f t="shared" si="5"/>
        <v>0</v>
      </c>
    </row>
    <row r="93" spans="1:198" s="166" customFormat="1" ht="15.5">
      <c r="A93" s="702" t="s">
        <v>34</v>
      </c>
      <c r="B93" s="708" t="s">
        <v>498</v>
      </c>
      <c r="C93" s="606" t="s">
        <v>34</v>
      </c>
      <c r="D93" s="606" t="s">
        <v>34</v>
      </c>
      <c r="E93" s="586"/>
      <c r="F93" s="612"/>
    </row>
    <row r="94" spans="1:198" s="166" customFormat="1" ht="31">
      <c r="A94" s="702" t="s">
        <v>1359</v>
      </c>
      <c r="B94" s="704" t="s">
        <v>398</v>
      </c>
      <c r="C94" s="606" t="s">
        <v>50</v>
      </c>
      <c r="D94" s="606">
        <v>12</v>
      </c>
      <c r="E94" s="586"/>
      <c r="F94" s="612">
        <f t="shared" si="5"/>
        <v>0</v>
      </c>
    </row>
    <row r="95" spans="1:198" s="166" customFormat="1" ht="16.5" customHeight="1">
      <c r="A95" s="702" t="s">
        <v>1359</v>
      </c>
      <c r="B95" s="704" t="s">
        <v>399</v>
      </c>
      <c r="C95" s="606" t="s">
        <v>387</v>
      </c>
      <c r="D95" s="606">
        <v>4</v>
      </c>
      <c r="E95" s="586"/>
      <c r="F95" s="612">
        <f t="shared" si="5"/>
        <v>0</v>
      </c>
    </row>
    <row r="96" spans="1:198" s="166" customFormat="1" ht="15" customHeight="1">
      <c r="A96" s="702" t="s">
        <v>559</v>
      </c>
      <c r="B96" s="704" t="s">
        <v>400</v>
      </c>
      <c r="C96" s="617" t="s">
        <v>387</v>
      </c>
      <c r="D96" s="617">
        <f>D95</f>
        <v>4</v>
      </c>
      <c r="E96" s="618"/>
      <c r="F96" s="612">
        <f t="shared" si="5"/>
        <v>0</v>
      </c>
    </row>
    <row r="97" spans="1:198" s="166" customFormat="1" ht="15.65" customHeight="1">
      <c r="A97" s="702" t="s">
        <v>1360</v>
      </c>
      <c r="B97" s="704" t="s">
        <v>401</v>
      </c>
      <c r="C97" s="617" t="s">
        <v>34</v>
      </c>
      <c r="D97" s="617" t="s">
        <v>34</v>
      </c>
      <c r="E97" s="618"/>
      <c r="F97" s="612"/>
    </row>
    <row r="98" spans="1:198" s="166" customFormat="1" ht="18.75" customHeight="1">
      <c r="A98" s="702" t="s">
        <v>1361</v>
      </c>
      <c r="B98" s="704" t="s">
        <v>403</v>
      </c>
      <c r="C98" s="648" t="s">
        <v>50</v>
      </c>
      <c r="D98" s="617">
        <f>D92</f>
        <v>43</v>
      </c>
      <c r="E98" s="618"/>
      <c r="F98" s="612">
        <f t="shared" si="5"/>
        <v>0</v>
      </c>
    </row>
    <row r="99" spans="1:198" s="166" customFormat="1" ht="20.25" customHeight="1">
      <c r="A99" s="702" t="s">
        <v>1362</v>
      </c>
      <c r="B99" s="704" t="s">
        <v>404</v>
      </c>
      <c r="C99" s="606" t="s">
        <v>50</v>
      </c>
      <c r="D99" s="606">
        <f>D98</f>
        <v>43</v>
      </c>
      <c r="E99" s="586"/>
      <c r="F99" s="612">
        <f t="shared" si="5"/>
        <v>0</v>
      </c>
    </row>
    <row r="100" spans="1:198" s="167" customFormat="1" ht="18.649999999999999" customHeight="1">
      <c r="A100" s="711"/>
      <c r="B100" s="708" t="s">
        <v>1198</v>
      </c>
      <c r="C100" s="613"/>
      <c r="D100" s="613"/>
      <c r="E100" s="602"/>
      <c r="F100" s="605">
        <f>SUM(F80:F99)</f>
        <v>0</v>
      </c>
    </row>
    <row r="101" spans="1:198" s="166" customFormat="1" ht="18.649999999999999" customHeight="1">
      <c r="A101" s="711"/>
      <c r="B101" s="708"/>
      <c r="C101" s="606"/>
      <c r="D101" s="606"/>
      <c r="E101" s="586"/>
      <c r="F101" s="612"/>
    </row>
    <row r="102" spans="1:198" s="166" customFormat="1" ht="15.5">
      <c r="A102" s="712">
        <v>4.5</v>
      </c>
      <c r="B102" s="698" t="s">
        <v>1168</v>
      </c>
      <c r="C102" s="606"/>
      <c r="D102" s="606"/>
      <c r="E102" s="586"/>
      <c r="F102" s="612">
        <f t="shared" si="5"/>
        <v>0</v>
      </c>
    </row>
    <row r="103" spans="1:198" s="759" customFormat="1" ht="31">
      <c r="A103" s="713" t="s">
        <v>1333</v>
      </c>
      <c r="B103" s="704" t="s">
        <v>1083</v>
      </c>
      <c r="C103" s="606" t="s">
        <v>387</v>
      </c>
      <c r="D103" s="606">
        <v>1</v>
      </c>
      <c r="E103" s="586"/>
      <c r="F103" s="612">
        <f t="shared" si="5"/>
        <v>0</v>
      </c>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4"/>
      <c r="BG103" s="164"/>
      <c r="BH103" s="164"/>
      <c r="BI103" s="164"/>
      <c r="BJ103" s="164"/>
      <c r="BK103" s="164"/>
      <c r="BL103" s="164"/>
      <c r="BM103" s="164"/>
      <c r="BN103" s="164"/>
      <c r="BO103" s="164"/>
      <c r="BP103" s="164"/>
      <c r="BQ103" s="164"/>
      <c r="BR103" s="164"/>
      <c r="BS103" s="164"/>
      <c r="BT103" s="164"/>
      <c r="BU103" s="164"/>
      <c r="BV103" s="164"/>
      <c r="BW103" s="164"/>
      <c r="BX103" s="164"/>
      <c r="BY103" s="164"/>
      <c r="BZ103" s="164"/>
      <c r="CA103" s="164"/>
      <c r="CB103" s="164"/>
      <c r="CC103" s="164"/>
      <c r="CD103" s="164"/>
      <c r="CE103" s="164"/>
      <c r="CF103" s="164"/>
      <c r="CG103" s="164"/>
      <c r="CH103" s="164"/>
      <c r="CI103" s="164"/>
      <c r="CJ103" s="164"/>
      <c r="CK103" s="164"/>
      <c r="CL103" s="164"/>
      <c r="CM103" s="164"/>
      <c r="CN103" s="164"/>
      <c r="CO103" s="164"/>
      <c r="CP103" s="164"/>
      <c r="CQ103" s="164"/>
      <c r="CR103" s="164"/>
      <c r="CS103" s="164"/>
      <c r="CT103" s="164"/>
      <c r="CU103" s="164"/>
      <c r="CV103" s="164"/>
      <c r="CW103" s="164"/>
      <c r="CX103" s="164"/>
      <c r="CY103" s="164"/>
      <c r="CZ103" s="164"/>
      <c r="DA103" s="164"/>
      <c r="DB103" s="164"/>
      <c r="DC103" s="164"/>
      <c r="DD103" s="164"/>
      <c r="DE103" s="164"/>
      <c r="DF103" s="164"/>
      <c r="DG103" s="164"/>
      <c r="DH103" s="164"/>
      <c r="DI103" s="164"/>
      <c r="DJ103" s="164"/>
      <c r="DK103" s="164"/>
      <c r="DL103" s="164"/>
      <c r="DM103" s="164"/>
      <c r="DN103" s="164"/>
      <c r="DO103" s="164"/>
      <c r="DP103" s="164"/>
      <c r="DQ103" s="164"/>
      <c r="DR103" s="164"/>
      <c r="DS103" s="164"/>
      <c r="DT103" s="164"/>
      <c r="DU103" s="164"/>
      <c r="DV103" s="164"/>
      <c r="DW103" s="164"/>
      <c r="DX103" s="164"/>
      <c r="DY103" s="164"/>
      <c r="DZ103" s="164"/>
      <c r="EA103" s="164"/>
      <c r="EB103" s="164"/>
      <c r="EC103" s="164"/>
      <c r="ED103" s="164"/>
      <c r="EE103" s="164"/>
      <c r="EF103" s="164"/>
      <c r="EG103" s="164"/>
      <c r="EH103" s="164"/>
      <c r="EI103" s="164"/>
      <c r="EJ103" s="164"/>
      <c r="EK103" s="164"/>
      <c r="EL103" s="164"/>
      <c r="EM103" s="164"/>
      <c r="EN103" s="164"/>
      <c r="EO103" s="164"/>
      <c r="EP103" s="164"/>
      <c r="EQ103" s="164"/>
      <c r="ER103" s="164"/>
      <c r="ES103" s="164"/>
      <c r="ET103" s="164"/>
      <c r="EU103" s="164"/>
      <c r="EV103" s="164"/>
      <c r="EW103" s="164"/>
      <c r="EX103" s="164"/>
      <c r="EY103" s="164"/>
      <c r="EZ103" s="164"/>
      <c r="FA103" s="164"/>
      <c r="FB103" s="164"/>
      <c r="FC103" s="164"/>
      <c r="FD103" s="164"/>
      <c r="FE103" s="164"/>
      <c r="FF103" s="164"/>
      <c r="FG103" s="164"/>
      <c r="FH103" s="164"/>
      <c r="FI103" s="164"/>
      <c r="FJ103" s="164"/>
      <c r="FK103" s="164"/>
      <c r="FL103" s="164"/>
      <c r="FM103" s="164"/>
      <c r="FN103" s="164"/>
      <c r="FO103" s="164"/>
      <c r="FP103" s="164"/>
      <c r="FQ103" s="164"/>
      <c r="FR103" s="164"/>
      <c r="FS103" s="164"/>
      <c r="FT103" s="164"/>
      <c r="FU103" s="164"/>
      <c r="FV103" s="164"/>
      <c r="FW103" s="164"/>
      <c r="FX103" s="164"/>
      <c r="FY103" s="164"/>
      <c r="FZ103" s="164"/>
      <c r="GA103" s="164"/>
      <c r="GB103" s="164"/>
      <c r="GC103" s="164"/>
      <c r="GD103" s="164"/>
      <c r="GE103" s="164"/>
      <c r="GF103" s="164"/>
      <c r="GG103" s="164"/>
      <c r="GH103" s="164"/>
      <c r="GI103" s="164"/>
      <c r="GJ103" s="164"/>
      <c r="GK103" s="164"/>
      <c r="GL103" s="164"/>
      <c r="GM103" s="164"/>
      <c r="GN103" s="164"/>
      <c r="GO103" s="164"/>
      <c r="GP103" s="164"/>
    </row>
    <row r="104" spans="1:198" s="759" customFormat="1" ht="31">
      <c r="A104" s="713" t="s">
        <v>1334</v>
      </c>
      <c r="B104" s="704" t="s">
        <v>499</v>
      </c>
      <c r="C104" s="606" t="s">
        <v>5</v>
      </c>
      <c r="D104" s="606">
        <v>2</v>
      </c>
      <c r="E104" s="586"/>
      <c r="F104" s="612">
        <f t="shared" si="5"/>
        <v>0</v>
      </c>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64"/>
      <c r="BM104" s="164"/>
      <c r="BN104" s="164"/>
      <c r="BO104" s="164"/>
      <c r="BP104" s="164"/>
      <c r="BQ104" s="164"/>
      <c r="BR104" s="164"/>
      <c r="BS104" s="164"/>
      <c r="BT104" s="164"/>
      <c r="BU104" s="164"/>
      <c r="BV104" s="164"/>
      <c r="BW104" s="164"/>
      <c r="BX104" s="164"/>
      <c r="BY104" s="164"/>
      <c r="BZ104" s="164"/>
      <c r="CA104" s="164"/>
      <c r="CB104" s="164"/>
      <c r="CC104" s="164"/>
      <c r="CD104" s="164"/>
      <c r="CE104" s="164"/>
      <c r="CF104" s="164"/>
      <c r="CG104" s="164"/>
      <c r="CH104" s="164"/>
      <c r="CI104" s="164"/>
      <c r="CJ104" s="164"/>
      <c r="CK104" s="164"/>
      <c r="CL104" s="164"/>
      <c r="CM104" s="164"/>
      <c r="CN104" s="164"/>
      <c r="CO104" s="164"/>
      <c r="CP104" s="164"/>
      <c r="CQ104" s="164"/>
      <c r="CR104" s="164"/>
      <c r="CS104" s="164"/>
      <c r="CT104" s="164"/>
      <c r="CU104" s="164"/>
      <c r="CV104" s="164"/>
      <c r="CW104" s="164"/>
      <c r="CX104" s="164"/>
      <c r="CY104" s="164"/>
      <c r="CZ104" s="164"/>
      <c r="DA104" s="164"/>
      <c r="DB104" s="164"/>
      <c r="DC104" s="164"/>
      <c r="DD104" s="164"/>
      <c r="DE104" s="164"/>
      <c r="DF104" s="164"/>
      <c r="DG104" s="164"/>
      <c r="DH104" s="164"/>
      <c r="DI104" s="164"/>
      <c r="DJ104" s="164"/>
      <c r="DK104" s="164"/>
      <c r="DL104" s="164"/>
      <c r="DM104" s="164"/>
      <c r="DN104" s="164"/>
      <c r="DO104" s="164"/>
      <c r="DP104" s="164"/>
      <c r="DQ104" s="164"/>
      <c r="DR104" s="164"/>
      <c r="DS104" s="164"/>
      <c r="DT104" s="164"/>
      <c r="DU104" s="164"/>
      <c r="DV104" s="164"/>
      <c r="DW104" s="164"/>
      <c r="DX104" s="164"/>
      <c r="DY104" s="164"/>
      <c r="DZ104" s="164"/>
      <c r="EA104" s="164"/>
      <c r="EB104" s="164"/>
      <c r="EC104" s="164"/>
      <c r="ED104" s="164"/>
      <c r="EE104" s="164"/>
      <c r="EF104" s="164"/>
      <c r="EG104" s="164"/>
      <c r="EH104" s="164"/>
      <c r="EI104" s="164"/>
      <c r="EJ104" s="164"/>
      <c r="EK104" s="164"/>
      <c r="EL104" s="164"/>
      <c r="EM104" s="164"/>
      <c r="EN104" s="164"/>
      <c r="EO104" s="164"/>
      <c r="EP104" s="164"/>
      <c r="EQ104" s="164"/>
      <c r="ER104" s="164"/>
      <c r="ES104" s="164"/>
      <c r="ET104" s="164"/>
      <c r="EU104" s="164"/>
      <c r="EV104" s="164"/>
      <c r="EW104" s="164"/>
      <c r="EX104" s="164"/>
      <c r="EY104" s="164"/>
      <c r="EZ104" s="164"/>
      <c r="FA104" s="164"/>
      <c r="FB104" s="164"/>
      <c r="FC104" s="164"/>
      <c r="FD104" s="164"/>
      <c r="FE104" s="164"/>
      <c r="FF104" s="164"/>
      <c r="FG104" s="164"/>
      <c r="FH104" s="164"/>
      <c r="FI104" s="164"/>
      <c r="FJ104" s="164"/>
      <c r="FK104" s="164"/>
      <c r="FL104" s="164"/>
      <c r="FM104" s="164"/>
      <c r="FN104" s="164"/>
      <c r="FO104" s="164"/>
      <c r="FP104" s="164"/>
      <c r="FQ104" s="164"/>
      <c r="FR104" s="164"/>
      <c r="FS104" s="164"/>
      <c r="FT104" s="164"/>
      <c r="FU104" s="164"/>
      <c r="FV104" s="164"/>
      <c r="FW104" s="164"/>
      <c r="FX104" s="164"/>
      <c r="FY104" s="164"/>
      <c r="FZ104" s="164"/>
      <c r="GA104" s="164"/>
      <c r="GB104" s="164"/>
      <c r="GC104" s="164"/>
      <c r="GD104" s="164"/>
      <c r="GE104" s="164"/>
      <c r="GF104" s="164"/>
      <c r="GG104" s="164"/>
      <c r="GH104" s="164"/>
      <c r="GI104" s="164"/>
      <c r="GJ104" s="164"/>
      <c r="GK104" s="164"/>
      <c r="GL104" s="164"/>
      <c r="GM104" s="164"/>
      <c r="GN104" s="164"/>
      <c r="GO104" s="164"/>
      <c r="GP104" s="164"/>
    </row>
    <row r="105" spans="1:198" s="166" customFormat="1" ht="29.4" customHeight="1">
      <c r="A105" s="713" t="s">
        <v>1335</v>
      </c>
      <c r="B105" s="704" t="s">
        <v>500</v>
      </c>
      <c r="C105" s="617" t="s">
        <v>50</v>
      </c>
      <c r="D105" s="617">
        <v>20</v>
      </c>
      <c r="E105" s="618"/>
      <c r="F105" s="612">
        <f t="shared" si="5"/>
        <v>0</v>
      </c>
    </row>
    <row r="106" spans="1:198" s="166" customFormat="1" ht="19.5" customHeight="1">
      <c r="A106" s="713" t="s">
        <v>1336</v>
      </c>
      <c r="B106" s="704" t="s">
        <v>501</v>
      </c>
      <c r="C106" s="617" t="s">
        <v>50</v>
      </c>
      <c r="D106" s="617">
        <f>D105*2</f>
        <v>40</v>
      </c>
      <c r="E106" s="618"/>
      <c r="F106" s="612">
        <f t="shared" si="5"/>
        <v>0</v>
      </c>
    </row>
    <row r="107" spans="1:198" s="166" customFormat="1" ht="15.5">
      <c r="A107" s="713" t="s">
        <v>1338</v>
      </c>
      <c r="B107" s="704" t="s">
        <v>502</v>
      </c>
      <c r="C107" s="648" t="s">
        <v>50</v>
      </c>
      <c r="D107" s="617">
        <f>D106</f>
        <v>40</v>
      </c>
      <c r="E107" s="618"/>
      <c r="F107" s="612">
        <f t="shared" si="5"/>
        <v>0</v>
      </c>
    </row>
    <row r="108" spans="1:198" s="166" customFormat="1" ht="15.5">
      <c r="A108" s="713"/>
      <c r="B108" s="708" t="s">
        <v>503</v>
      </c>
      <c r="C108" s="606" t="s">
        <v>34</v>
      </c>
      <c r="D108" s="606" t="s">
        <v>34</v>
      </c>
      <c r="E108" s="586"/>
      <c r="F108" s="612"/>
    </row>
    <row r="109" spans="1:198" s="166" customFormat="1" ht="31">
      <c r="A109" s="713" t="s">
        <v>1337</v>
      </c>
      <c r="B109" s="704" t="s">
        <v>504</v>
      </c>
      <c r="C109" s="606" t="s">
        <v>34</v>
      </c>
      <c r="D109" s="606" t="s">
        <v>34</v>
      </c>
      <c r="E109" s="586"/>
      <c r="F109" s="612"/>
    </row>
    <row r="110" spans="1:198" s="166" customFormat="1" ht="18.75" customHeight="1">
      <c r="A110" s="713" t="s">
        <v>1388</v>
      </c>
      <c r="B110" s="704" t="s">
        <v>505</v>
      </c>
      <c r="C110" s="606" t="s">
        <v>387</v>
      </c>
      <c r="D110" s="606">
        <v>3</v>
      </c>
      <c r="E110" s="586"/>
      <c r="F110" s="612">
        <f t="shared" si="5"/>
        <v>0</v>
      </c>
    </row>
    <row r="111" spans="1:198" s="166" customFormat="1" ht="15.5">
      <c r="A111" s="713" t="s">
        <v>1389</v>
      </c>
      <c r="B111" s="704" t="s">
        <v>506</v>
      </c>
      <c r="C111" s="606" t="s">
        <v>507</v>
      </c>
      <c r="D111" s="606">
        <f>4*1.5</f>
        <v>6</v>
      </c>
      <c r="E111" s="586"/>
      <c r="F111" s="612">
        <f t="shared" si="5"/>
        <v>0</v>
      </c>
    </row>
    <row r="112" spans="1:198" s="166" customFormat="1" ht="15.5">
      <c r="A112" s="713" t="s">
        <v>1390</v>
      </c>
      <c r="B112" s="704" t="s">
        <v>508</v>
      </c>
      <c r="C112" s="617" t="s">
        <v>387</v>
      </c>
      <c r="D112" s="617">
        <v>4</v>
      </c>
      <c r="E112" s="618"/>
      <c r="F112" s="612">
        <f t="shared" si="5"/>
        <v>0</v>
      </c>
    </row>
    <row r="113" spans="1:198" s="166" customFormat="1" ht="15.5">
      <c r="A113" s="713" t="s">
        <v>34</v>
      </c>
      <c r="B113" s="708" t="s">
        <v>509</v>
      </c>
      <c r="C113" s="617" t="s">
        <v>34</v>
      </c>
      <c r="D113" s="617" t="s">
        <v>34</v>
      </c>
      <c r="E113" s="618"/>
      <c r="F113" s="612"/>
    </row>
    <row r="114" spans="1:198" s="166" customFormat="1" ht="31">
      <c r="A114" s="713" t="s">
        <v>1391</v>
      </c>
      <c r="B114" s="704" t="s">
        <v>510</v>
      </c>
      <c r="C114" s="648" t="s">
        <v>146</v>
      </c>
      <c r="D114" s="617" t="s">
        <v>439</v>
      </c>
      <c r="E114" s="618"/>
      <c r="F114" s="612">
        <f>E114</f>
        <v>0</v>
      </c>
    </row>
    <row r="115" spans="1:198" s="167" customFormat="1" ht="15.5">
      <c r="A115" s="714"/>
      <c r="B115" s="703" t="s">
        <v>1224</v>
      </c>
      <c r="C115" s="639"/>
      <c r="D115" s="715"/>
      <c r="E115" s="688"/>
      <c r="F115" s="605">
        <f>SUM(F103:F114)</f>
        <v>0</v>
      </c>
    </row>
    <row r="116" spans="1:198" s="166" customFormat="1" ht="15.5">
      <c r="A116" s="713"/>
      <c r="B116" s="704"/>
      <c r="C116" s="648"/>
      <c r="D116" s="617"/>
      <c r="E116" s="618"/>
      <c r="F116" s="612"/>
    </row>
    <row r="117" spans="1:198" s="166" customFormat="1" ht="15.5">
      <c r="A117" s="693">
        <v>4.5999999999999996</v>
      </c>
      <c r="B117" s="698" t="s">
        <v>1177</v>
      </c>
      <c r="C117" s="606"/>
      <c r="D117" s="606"/>
      <c r="E117" s="586"/>
      <c r="F117" s="612"/>
    </row>
    <row r="118" spans="1:198" s="760" customFormat="1" ht="31.5" customHeight="1">
      <c r="A118" s="706" t="s">
        <v>1392</v>
      </c>
      <c r="B118" s="707" t="s">
        <v>511</v>
      </c>
      <c r="C118" s="606" t="s">
        <v>12</v>
      </c>
      <c r="D118" s="606">
        <v>8</v>
      </c>
      <c r="E118" s="586"/>
      <c r="F118" s="612">
        <f t="shared" si="5"/>
        <v>0</v>
      </c>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c r="AY118" s="165"/>
      <c r="AZ118" s="165"/>
      <c r="BA118" s="165"/>
      <c r="BB118" s="165"/>
      <c r="BC118" s="165"/>
      <c r="BD118" s="165"/>
      <c r="BE118" s="165"/>
      <c r="BF118" s="165"/>
      <c r="BG118" s="165"/>
      <c r="BH118" s="165"/>
      <c r="BI118" s="165"/>
      <c r="BJ118" s="165"/>
      <c r="BK118" s="165"/>
      <c r="BL118" s="165"/>
      <c r="BM118" s="165"/>
      <c r="BN118" s="165"/>
      <c r="BO118" s="165"/>
      <c r="BP118" s="165"/>
      <c r="BQ118" s="165"/>
      <c r="BR118" s="165"/>
      <c r="BS118" s="165"/>
      <c r="BT118" s="165"/>
      <c r="BU118" s="165"/>
      <c r="BV118" s="165"/>
      <c r="BW118" s="165"/>
      <c r="BX118" s="165"/>
      <c r="BY118" s="165"/>
      <c r="BZ118" s="165"/>
      <c r="CA118" s="165"/>
      <c r="CB118" s="165"/>
      <c r="CC118" s="165"/>
      <c r="CD118" s="165"/>
      <c r="CE118" s="165"/>
      <c r="CF118" s="165"/>
      <c r="CG118" s="165"/>
      <c r="CH118" s="165"/>
      <c r="CI118" s="165"/>
      <c r="CJ118" s="165"/>
      <c r="CK118" s="165"/>
      <c r="CL118" s="165"/>
      <c r="CM118" s="165"/>
      <c r="CN118" s="165"/>
      <c r="CO118" s="165"/>
      <c r="CP118" s="165"/>
      <c r="CQ118" s="165"/>
      <c r="CR118" s="165"/>
      <c r="CS118" s="165"/>
      <c r="CT118" s="165"/>
      <c r="CU118" s="165"/>
      <c r="CV118" s="165"/>
      <c r="CW118" s="165"/>
      <c r="CX118" s="165"/>
      <c r="CY118" s="165"/>
      <c r="CZ118" s="165"/>
      <c r="DA118" s="165"/>
      <c r="DB118" s="165"/>
      <c r="DC118" s="165"/>
      <c r="DD118" s="165"/>
      <c r="DE118" s="165"/>
      <c r="DF118" s="165"/>
      <c r="DG118" s="165"/>
      <c r="DH118" s="165"/>
      <c r="DI118" s="165"/>
      <c r="DJ118" s="165"/>
      <c r="DK118" s="165"/>
      <c r="DL118" s="165"/>
      <c r="DM118" s="165"/>
      <c r="DN118" s="165"/>
      <c r="DO118" s="165"/>
      <c r="DP118" s="165"/>
      <c r="DQ118" s="165"/>
      <c r="DR118" s="165"/>
      <c r="DS118" s="165"/>
      <c r="DT118" s="165"/>
      <c r="DU118" s="165"/>
      <c r="DV118" s="165"/>
      <c r="DW118" s="165"/>
      <c r="DX118" s="165"/>
      <c r="DY118" s="165"/>
      <c r="DZ118" s="165"/>
      <c r="EA118" s="165"/>
      <c r="EB118" s="165"/>
      <c r="EC118" s="165"/>
      <c r="ED118" s="165"/>
      <c r="EE118" s="165"/>
      <c r="EF118" s="165"/>
      <c r="EG118" s="165"/>
      <c r="EH118" s="165"/>
      <c r="EI118" s="165"/>
      <c r="EJ118" s="165"/>
      <c r="EK118" s="165"/>
      <c r="EL118" s="165"/>
      <c r="EM118" s="165"/>
      <c r="EN118" s="165"/>
      <c r="EO118" s="165"/>
      <c r="EP118" s="165"/>
      <c r="EQ118" s="165"/>
      <c r="ER118" s="165"/>
      <c r="ES118" s="165"/>
      <c r="ET118" s="165"/>
      <c r="EU118" s="165"/>
      <c r="EV118" s="165"/>
      <c r="EW118" s="165"/>
      <c r="EX118" s="165"/>
      <c r="EY118" s="165"/>
      <c r="EZ118" s="165"/>
      <c r="FA118" s="165"/>
      <c r="FB118" s="165"/>
      <c r="FC118" s="165"/>
      <c r="FD118" s="165"/>
      <c r="FE118" s="165"/>
      <c r="FF118" s="165"/>
      <c r="FG118" s="165"/>
      <c r="FH118" s="165"/>
      <c r="FI118" s="165"/>
      <c r="FJ118" s="165"/>
      <c r="FK118" s="165"/>
      <c r="FL118" s="165"/>
      <c r="FM118" s="165"/>
      <c r="FN118" s="165"/>
      <c r="FO118" s="165"/>
      <c r="FP118" s="165"/>
      <c r="FQ118" s="165"/>
      <c r="FR118" s="165"/>
      <c r="FS118" s="165"/>
      <c r="FT118" s="165"/>
      <c r="FU118" s="165"/>
      <c r="FV118" s="165"/>
      <c r="FW118" s="165"/>
      <c r="FX118" s="165"/>
      <c r="FY118" s="165"/>
      <c r="FZ118" s="165"/>
      <c r="GA118" s="165"/>
      <c r="GB118" s="165"/>
      <c r="GC118" s="165"/>
      <c r="GD118" s="165"/>
      <c r="GE118" s="165"/>
      <c r="GF118" s="165"/>
      <c r="GG118" s="165"/>
      <c r="GH118" s="165"/>
      <c r="GI118" s="165"/>
      <c r="GJ118" s="165"/>
      <c r="GK118" s="165"/>
      <c r="GL118" s="165"/>
      <c r="GM118" s="165"/>
      <c r="GN118" s="165"/>
      <c r="GO118" s="165"/>
      <c r="GP118" s="165"/>
    </row>
    <row r="119" spans="1:198" s="760" customFormat="1" ht="15.5">
      <c r="A119" s="693"/>
      <c r="B119" s="694" t="s">
        <v>1225</v>
      </c>
      <c r="C119" s="613"/>
      <c r="D119" s="613"/>
      <c r="E119" s="602"/>
      <c r="F119" s="605">
        <f>SUM(F118)</f>
        <v>0</v>
      </c>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c r="AY119" s="165"/>
      <c r="AZ119" s="165"/>
      <c r="BA119" s="165"/>
      <c r="BB119" s="165"/>
      <c r="BC119" s="165"/>
      <c r="BD119" s="165"/>
      <c r="BE119" s="165"/>
      <c r="BF119" s="165"/>
      <c r="BG119" s="165"/>
      <c r="BH119" s="165"/>
      <c r="BI119" s="165"/>
      <c r="BJ119" s="165"/>
      <c r="BK119" s="165"/>
      <c r="BL119" s="165"/>
      <c r="BM119" s="165"/>
      <c r="BN119" s="165"/>
      <c r="BO119" s="165"/>
      <c r="BP119" s="165"/>
      <c r="BQ119" s="165"/>
      <c r="BR119" s="165"/>
      <c r="BS119" s="165"/>
      <c r="BT119" s="165"/>
      <c r="BU119" s="165"/>
      <c r="BV119" s="165"/>
      <c r="BW119" s="165"/>
      <c r="BX119" s="165"/>
      <c r="BY119" s="165"/>
      <c r="BZ119" s="165"/>
      <c r="CA119" s="165"/>
      <c r="CB119" s="165"/>
      <c r="CC119" s="165"/>
      <c r="CD119" s="165"/>
      <c r="CE119" s="165"/>
      <c r="CF119" s="165"/>
      <c r="CG119" s="165"/>
      <c r="CH119" s="165"/>
      <c r="CI119" s="165"/>
      <c r="CJ119" s="165"/>
      <c r="CK119" s="165"/>
      <c r="CL119" s="165"/>
      <c r="CM119" s="165"/>
      <c r="CN119" s="165"/>
      <c r="CO119" s="165"/>
      <c r="CP119" s="165"/>
      <c r="CQ119" s="165"/>
      <c r="CR119" s="165"/>
      <c r="CS119" s="165"/>
      <c r="CT119" s="165"/>
      <c r="CU119" s="165"/>
      <c r="CV119" s="165"/>
      <c r="CW119" s="165"/>
      <c r="CX119" s="165"/>
      <c r="CY119" s="165"/>
      <c r="CZ119" s="165"/>
      <c r="DA119" s="165"/>
      <c r="DB119" s="165"/>
      <c r="DC119" s="165"/>
      <c r="DD119" s="165"/>
      <c r="DE119" s="165"/>
      <c r="DF119" s="165"/>
      <c r="DG119" s="165"/>
      <c r="DH119" s="165"/>
      <c r="DI119" s="165"/>
      <c r="DJ119" s="165"/>
      <c r="DK119" s="165"/>
      <c r="DL119" s="165"/>
      <c r="DM119" s="165"/>
      <c r="DN119" s="165"/>
      <c r="DO119" s="165"/>
      <c r="DP119" s="165"/>
      <c r="DQ119" s="165"/>
      <c r="DR119" s="165"/>
      <c r="DS119" s="165"/>
      <c r="DT119" s="165"/>
      <c r="DU119" s="165"/>
      <c r="DV119" s="165"/>
      <c r="DW119" s="165"/>
      <c r="DX119" s="165"/>
      <c r="DY119" s="165"/>
      <c r="DZ119" s="165"/>
      <c r="EA119" s="165"/>
      <c r="EB119" s="165"/>
      <c r="EC119" s="165"/>
      <c r="ED119" s="165"/>
      <c r="EE119" s="165"/>
      <c r="EF119" s="165"/>
      <c r="EG119" s="165"/>
      <c r="EH119" s="165"/>
      <c r="EI119" s="165"/>
      <c r="EJ119" s="165"/>
      <c r="EK119" s="165"/>
      <c r="EL119" s="165"/>
      <c r="EM119" s="165"/>
      <c r="EN119" s="165"/>
      <c r="EO119" s="165"/>
      <c r="EP119" s="165"/>
      <c r="EQ119" s="165"/>
      <c r="ER119" s="165"/>
      <c r="ES119" s="165"/>
      <c r="ET119" s="165"/>
      <c r="EU119" s="165"/>
      <c r="EV119" s="165"/>
      <c r="EW119" s="165"/>
      <c r="EX119" s="165"/>
      <c r="EY119" s="165"/>
      <c r="EZ119" s="165"/>
      <c r="FA119" s="165"/>
      <c r="FB119" s="165"/>
      <c r="FC119" s="165"/>
      <c r="FD119" s="165"/>
      <c r="FE119" s="165"/>
      <c r="FF119" s="165"/>
      <c r="FG119" s="165"/>
      <c r="FH119" s="165"/>
      <c r="FI119" s="165"/>
      <c r="FJ119" s="165"/>
      <c r="FK119" s="165"/>
      <c r="FL119" s="165"/>
      <c r="FM119" s="165"/>
      <c r="FN119" s="165"/>
      <c r="FO119" s="165"/>
      <c r="FP119" s="165"/>
      <c r="FQ119" s="165"/>
      <c r="FR119" s="165"/>
      <c r="FS119" s="165"/>
      <c r="FT119" s="165"/>
      <c r="FU119" s="165"/>
      <c r="FV119" s="165"/>
      <c r="FW119" s="165"/>
      <c r="FX119" s="165"/>
      <c r="FY119" s="165"/>
      <c r="FZ119" s="165"/>
      <c r="GA119" s="165"/>
      <c r="GB119" s="165"/>
      <c r="GC119" s="165"/>
      <c r="GD119" s="165"/>
      <c r="GE119" s="165"/>
      <c r="GF119" s="165"/>
      <c r="GG119" s="165"/>
      <c r="GH119" s="165"/>
      <c r="GI119" s="165"/>
      <c r="GJ119" s="165"/>
      <c r="GK119" s="165"/>
      <c r="GL119" s="165"/>
      <c r="GM119" s="165"/>
      <c r="GN119" s="165"/>
      <c r="GO119" s="165"/>
      <c r="GP119" s="165"/>
    </row>
    <row r="120" spans="1:198" s="760" customFormat="1" ht="15.5">
      <c r="A120" s="706"/>
      <c r="B120" s="707"/>
      <c r="C120" s="606"/>
      <c r="D120" s="606"/>
      <c r="E120" s="586"/>
      <c r="F120" s="612"/>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5"/>
      <c r="AM120" s="165"/>
      <c r="AN120" s="165"/>
      <c r="AO120" s="165"/>
      <c r="AP120" s="165"/>
      <c r="AQ120" s="165"/>
      <c r="AR120" s="165"/>
      <c r="AS120" s="165"/>
      <c r="AT120" s="165"/>
      <c r="AU120" s="165"/>
      <c r="AV120" s="165"/>
      <c r="AW120" s="165"/>
      <c r="AX120" s="165"/>
      <c r="AY120" s="165"/>
      <c r="AZ120" s="165"/>
      <c r="BA120" s="165"/>
      <c r="BB120" s="165"/>
      <c r="BC120" s="165"/>
      <c r="BD120" s="165"/>
      <c r="BE120" s="165"/>
      <c r="BF120" s="165"/>
      <c r="BG120" s="165"/>
      <c r="BH120" s="165"/>
      <c r="BI120" s="165"/>
      <c r="BJ120" s="165"/>
      <c r="BK120" s="165"/>
      <c r="BL120" s="165"/>
      <c r="BM120" s="165"/>
      <c r="BN120" s="165"/>
      <c r="BO120" s="165"/>
      <c r="BP120" s="165"/>
      <c r="BQ120" s="165"/>
      <c r="BR120" s="165"/>
      <c r="BS120" s="165"/>
      <c r="BT120" s="165"/>
      <c r="BU120" s="165"/>
      <c r="BV120" s="165"/>
      <c r="BW120" s="165"/>
      <c r="BX120" s="165"/>
      <c r="BY120" s="165"/>
      <c r="BZ120" s="165"/>
      <c r="CA120" s="165"/>
      <c r="CB120" s="165"/>
      <c r="CC120" s="165"/>
      <c r="CD120" s="165"/>
      <c r="CE120" s="165"/>
      <c r="CF120" s="165"/>
      <c r="CG120" s="165"/>
      <c r="CH120" s="165"/>
      <c r="CI120" s="165"/>
      <c r="CJ120" s="165"/>
      <c r="CK120" s="165"/>
      <c r="CL120" s="165"/>
      <c r="CM120" s="165"/>
      <c r="CN120" s="165"/>
      <c r="CO120" s="165"/>
      <c r="CP120" s="165"/>
      <c r="CQ120" s="165"/>
      <c r="CR120" s="165"/>
      <c r="CS120" s="165"/>
      <c r="CT120" s="165"/>
      <c r="CU120" s="165"/>
      <c r="CV120" s="165"/>
      <c r="CW120" s="165"/>
      <c r="CX120" s="165"/>
      <c r="CY120" s="165"/>
      <c r="CZ120" s="165"/>
      <c r="DA120" s="165"/>
      <c r="DB120" s="165"/>
      <c r="DC120" s="165"/>
      <c r="DD120" s="165"/>
      <c r="DE120" s="165"/>
      <c r="DF120" s="165"/>
      <c r="DG120" s="165"/>
      <c r="DH120" s="165"/>
      <c r="DI120" s="165"/>
      <c r="DJ120" s="165"/>
      <c r="DK120" s="165"/>
      <c r="DL120" s="165"/>
      <c r="DM120" s="165"/>
      <c r="DN120" s="165"/>
      <c r="DO120" s="165"/>
      <c r="DP120" s="165"/>
      <c r="DQ120" s="165"/>
      <c r="DR120" s="165"/>
      <c r="DS120" s="165"/>
      <c r="DT120" s="165"/>
      <c r="DU120" s="165"/>
      <c r="DV120" s="165"/>
      <c r="DW120" s="165"/>
      <c r="DX120" s="165"/>
      <c r="DY120" s="165"/>
      <c r="DZ120" s="165"/>
      <c r="EA120" s="165"/>
      <c r="EB120" s="165"/>
      <c r="EC120" s="165"/>
      <c r="ED120" s="165"/>
      <c r="EE120" s="165"/>
      <c r="EF120" s="165"/>
      <c r="EG120" s="165"/>
      <c r="EH120" s="165"/>
      <c r="EI120" s="165"/>
      <c r="EJ120" s="165"/>
      <c r="EK120" s="165"/>
      <c r="EL120" s="165"/>
      <c r="EM120" s="165"/>
      <c r="EN120" s="165"/>
      <c r="EO120" s="165"/>
      <c r="EP120" s="165"/>
      <c r="EQ120" s="165"/>
      <c r="ER120" s="165"/>
      <c r="ES120" s="165"/>
      <c r="ET120" s="165"/>
      <c r="EU120" s="165"/>
      <c r="EV120" s="165"/>
      <c r="EW120" s="165"/>
      <c r="EX120" s="165"/>
      <c r="EY120" s="165"/>
      <c r="EZ120" s="165"/>
      <c r="FA120" s="165"/>
      <c r="FB120" s="165"/>
      <c r="FC120" s="165"/>
      <c r="FD120" s="165"/>
      <c r="FE120" s="165"/>
      <c r="FF120" s="165"/>
      <c r="FG120" s="165"/>
      <c r="FH120" s="165"/>
      <c r="FI120" s="165"/>
      <c r="FJ120" s="165"/>
      <c r="FK120" s="165"/>
      <c r="FL120" s="165"/>
      <c r="FM120" s="165"/>
      <c r="FN120" s="165"/>
      <c r="FO120" s="165"/>
      <c r="FP120" s="165"/>
      <c r="FQ120" s="165"/>
      <c r="FR120" s="165"/>
      <c r="FS120" s="165"/>
      <c r="FT120" s="165"/>
      <c r="FU120" s="165"/>
      <c r="FV120" s="165"/>
      <c r="FW120" s="165"/>
      <c r="FX120" s="165"/>
      <c r="FY120" s="165"/>
      <c r="FZ120" s="165"/>
      <c r="GA120" s="165"/>
      <c r="GB120" s="165"/>
      <c r="GC120" s="165"/>
      <c r="GD120" s="165"/>
      <c r="GE120" s="165"/>
      <c r="GF120" s="165"/>
      <c r="GG120" s="165"/>
      <c r="GH120" s="165"/>
      <c r="GI120" s="165"/>
      <c r="GJ120" s="165"/>
      <c r="GK120" s="165"/>
      <c r="GL120" s="165"/>
      <c r="GM120" s="165"/>
      <c r="GN120" s="165"/>
      <c r="GO120" s="165"/>
      <c r="GP120" s="165"/>
    </row>
    <row r="121" spans="1:198" s="131" customFormat="1">
      <c r="A121" s="670"/>
      <c r="B121" s="584" t="s">
        <v>859</v>
      </c>
      <c r="C121" s="671"/>
      <c r="D121" s="672"/>
      <c r="E121" s="607"/>
      <c r="F121" s="587"/>
    </row>
    <row r="122" spans="1:198" s="159" customFormat="1">
      <c r="A122" s="678">
        <v>4</v>
      </c>
      <c r="B122" s="674" t="s">
        <v>1223</v>
      </c>
      <c r="C122" s="648"/>
      <c r="D122" s="617"/>
      <c r="E122" s="618"/>
      <c r="F122" s="675"/>
    </row>
    <row r="123" spans="1:198" s="644" customFormat="1">
      <c r="A123" s="690">
        <v>4.7</v>
      </c>
      <c r="B123" s="674" t="s">
        <v>1077</v>
      </c>
      <c r="C123" s="648"/>
      <c r="D123" s="618"/>
      <c r="E123" s="648"/>
      <c r="F123" s="682"/>
    </row>
    <row r="124" spans="1:198" s="644" customFormat="1">
      <c r="A124" s="681"/>
      <c r="B124" s="649" t="s">
        <v>55</v>
      </c>
      <c r="C124" s="648"/>
      <c r="D124" s="618"/>
      <c r="E124" s="648"/>
      <c r="F124" s="682"/>
    </row>
    <row r="125" spans="1:198" s="644" customFormat="1">
      <c r="A125" s="681"/>
      <c r="B125" s="649" t="s">
        <v>56</v>
      </c>
      <c r="C125" s="648"/>
      <c r="D125" s="618"/>
      <c r="E125" s="648"/>
      <c r="F125" s="682"/>
    </row>
    <row r="126" spans="1:198" s="644" customFormat="1">
      <c r="A126" s="681" t="s">
        <v>1363</v>
      </c>
      <c r="B126" s="616" t="s">
        <v>949</v>
      </c>
      <c r="C126" s="648" t="s">
        <v>33</v>
      </c>
      <c r="D126" s="618">
        <f>D57</f>
        <v>70</v>
      </c>
      <c r="E126" s="648"/>
      <c r="F126" s="682">
        <f>E126*D126</f>
        <v>0</v>
      </c>
    </row>
    <row r="127" spans="1:198" s="644" customFormat="1">
      <c r="A127" s="681"/>
      <c r="B127" s="649" t="s">
        <v>1041</v>
      </c>
      <c r="C127" s="648"/>
      <c r="D127" s="618"/>
      <c r="E127" s="648"/>
      <c r="F127" s="682"/>
    </row>
    <row r="128" spans="1:198" s="644" customFormat="1">
      <c r="A128" s="681" t="s">
        <v>1364</v>
      </c>
      <c r="B128" s="616" t="s">
        <v>1042</v>
      </c>
      <c r="C128" s="648" t="s">
        <v>33</v>
      </c>
      <c r="D128" s="618">
        <v>275</v>
      </c>
      <c r="E128" s="648"/>
      <c r="F128" s="682">
        <f>E128*D128</f>
        <v>0</v>
      </c>
    </row>
    <row r="129" spans="1:6" s="644" customFormat="1">
      <c r="A129" s="681"/>
      <c r="B129" s="616" t="s">
        <v>1263</v>
      </c>
      <c r="C129" s="648" t="s">
        <v>441</v>
      </c>
      <c r="D129" s="618">
        <v>125</v>
      </c>
      <c r="E129" s="648"/>
      <c r="F129" s="682">
        <f>E129*D129</f>
        <v>0</v>
      </c>
    </row>
    <row r="130" spans="1:6" s="644" customFormat="1">
      <c r="A130" s="681"/>
      <c r="B130" s="674" t="s">
        <v>18</v>
      </c>
      <c r="C130" s="648"/>
      <c r="D130" s="618"/>
      <c r="E130" s="648"/>
      <c r="F130" s="682"/>
    </row>
    <row r="131" spans="1:6" s="644" customFormat="1">
      <c r="A131" s="681"/>
      <c r="B131" s="649" t="s">
        <v>486</v>
      </c>
      <c r="C131" s="648"/>
      <c r="D131" s="618"/>
      <c r="E131" s="648"/>
      <c r="F131" s="682"/>
    </row>
    <row r="132" spans="1:6" s="644" customFormat="1">
      <c r="A132" s="681" t="s">
        <v>1365</v>
      </c>
      <c r="B132" s="616" t="s">
        <v>1078</v>
      </c>
      <c r="C132" s="648" t="s">
        <v>33</v>
      </c>
      <c r="D132" s="618">
        <f>D37</f>
        <v>125</v>
      </c>
      <c r="E132" s="648"/>
      <c r="F132" s="682">
        <f>E132*D132</f>
        <v>0</v>
      </c>
    </row>
    <row r="133" spans="1:6" s="644" customFormat="1">
      <c r="A133" s="681" t="s">
        <v>1366</v>
      </c>
      <c r="B133" s="616" t="s">
        <v>1079</v>
      </c>
      <c r="C133" s="648" t="s">
        <v>50</v>
      </c>
      <c r="D133" s="618">
        <v>150</v>
      </c>
      <c r="E133" s="648"/>
      <c r="F133" s="682">
        <f t="shared" ref="F133" si="6">D133*E133</f>
        <v>0</v>
      </c>
    </row>
    <row r="134" spans="1:6" s="166" customFormat="1" ht="15.5">
      <c r="A134" s="716" t="s">
        <v>1393</v>
      </c>
      <c r="B134" s="717" t="s">
        <v>523</v>
      </c>
      <c r="C134" s="617" t="s">
        <v>33</v>
      </c>
      <c r="D134" s="617">
        <v>21</v>
      </c>
      <c r="E134" s="618"/>
      <c r="F134" s="612">
        <f t="shared" ref="F134" si="7">E134*D134</f>
        <v>0</v>
      </c>
    </row>
    <row r="135" spans="1:6" s="644" customFormat="1">
      <c r="A135" s="681"/>
      <c r="B135" s="674" t="s">
        <v>392</v>
      </c>
      <c r="C135" s="648"/>
      <c r="D135" s="618"/>
      <c r="E135" s="648"/>
      <c r="F135" s="682"/>
    </row>
    <row r="136" spans="1:6" s="644" customFormat="1">
      <c r="A136" s="681"/>
      <c r="B136" s="674" t="s">
        <v>1043</v>
      </c>
      <c r="C136" s="648"/>
      <c r="D136" s="618"/>
      <c r="E136" s="648"/>
      <c r="F136" s="682"/>
    </row>
    <row r="137" spans="1:6" s="644" customFormat="1">
      <c r="A137" s="681"/>
      <c r="B137" s="674" t="s">
        <v>1044</v>
      </c>
      <c r="C137" s="648"/>
      <c r="D137" s="618"/>
      <c r="E137" s="648"/>
      <c r="F137" s="682"/>
    </row>
    <row r="138" spans="1:6" s="644" customFormat="1">
      <c r="A138" s="681" t="s">
        <v>1394</v>
      </c>
      <c r="B138" s="616" t="s">
        <v>1045</v>
      </c>
      <c r="C138" s="648" t="s">
        <v>33</v>
      </c>
      <c r="D138" s="618">
        <f>D126</f>
        <v>70</v>
      </c>
      <c r="E138" s="648"/>
      <c r="F138" s="682">
        <f>E138*D138</f>
        <v>0</v>
      </c>
    </row>
    <row r="139" spans="1:6" s="644" customFormat="1">
      <c r="A139" s="681"/>
      <c r="B139" s="674" t="s">
        <v>1046</v>
      </c>
      <c r="C139" s="648"/>
      <c r="D139" s="618"/>
      <c r="E139" s="648"/>
      <c r="F139" s="682"/>
    </row>
    <row r="140" spans="1:6" s="644" customFormat="1">
      <c r="A140" s="681"/>
      <c r="B140" s="674" t="s">
        <v>1047</v>
      </c>
      <c r="C140" s="648"/>
      <c r="D140" s="618"/>
      <c r="E140" s="648"/>
      <c r="F140" s="682"/>
    </row>
    <row r="141" spans="1:6" s="644" customFormat="1">
      <c r="A141" s="681" t="s">
        <v>1395</v>
      </c>
      <c r="B141" s="616" t="s">
        <v>1048</v>
      </c>
      <c r="C141" s="648" t="s">
        <v>33</v>
      </c>
      <c r="D141" s="618">
        <f>D128+D129</f>
        <v>400</v>
      </c>
      <c r="E141" s="648"/>
      <c r="F141" s="682">
        <f>E141*D141</f>
        <v>0</v>
      </c>
    </row>
    <row r="142" spans="1:6" s="167" customFormat="1" ht="15.5">
      <c r="A142" s="718"/>
      <c r="B142" s="719" t="s">
        <v>1179</v>
      </c>
      <c r="C142" s="720"/>
      <c r="D142" s="718"/>
      <c r="E142" s="718"/>
      <c r="F142" s="721">
        <f>SUM(F125:F141)</f>
        <v>0</v>
      </c>
    </row>
    <row r="143" spans="1:6" s="644" customFormat="1">
      <c r="A143" s="681"/>
      <c r="B143" s="674"/>
      <c r="C143" s="648"/>
      <c r="D143" s="618"/>
      <c r="E143" s="648"/>
      <c r="F143" s="682"/>
    </row>
    <row r="144" spans="1:6" s="644" customFormat="1">
      <c r="A144" s="681"/>
      <c r="B144" s="674"/>
      <c r="C144" s="648"/>
      <c r="D144" s="618"/>
      <c r="E144" s="648"/>
      <c r="F144" s="682"/>
    </row>
    <row r="145" spans="1:7" s="644" customFormat="1">
      <c r="A145" s="681"/>
      <c r="B145" s="616"/>
      <c r="C145" s="648"/>
      <c r="D145" s="618"/>
      <c r="E145" s="648"/>
      <c r="F145" s="682"/>
    </row>
    <row r="146" spans="1:7" s="644" customFormat="1">
      <c r="A146" s="681"/>
      <c r="B146" s="616"/>
      <c r="C146" s="648"/>
      <c r="D146" s="618"/>
      <c r="E146" s="648"/>
      <c r="F146" s="682"/>
    </row>
    <row r="147" spans="1:7" ht="15.5">
      <c r="A147" s="718"/>
      <c r="B147" s="719"/>
      <c r="C147" s="720"/>
      <c r="D147" s="718"/>
      <c r="E147" s="718"/>
      <c r="F147" s="721"/>
      <c r="G147" s="186"/>
    </row>
    <row r="148" spans="1:7" s="131" customFormat="1" ht="15.5">
      <c r="A148" s="722"/>
      <c r="B148" s="723"/>
      <c r="C148" s="724"/>
      <c r="D148" s="725"/>
      <c r="E148" s="726"/>
      <c r="F148" s="727">
        <f t="shared" ref="F148:F163" si="8">E148*D148</f>
        <v>0</v>
      </c>
    </row>
    <row r="149" spans="1:7" s="159" customFormat="1">
      <c r="A149" s="668" t="s">
        <v>0</v>
      </c>
      <c r="B149" s="669" t="s">
        <v>1</v>
      </c>
      <c r="C149" s="592" t="s">
        <v>2</v>
      </c>
      <c r="D149" s="593" t="s">
        <v>426</v>
      </c>
      <c r="E149" s="594" t="s">
        <v>368</v>
      </c>
      <c r="F149" s="595" t="s">
        <v>472</v>
      </c>
    </row>
    <row r="150" spans="1:7" s="131" customFormat="1">
      <c r="A150" s="670"/>
      <c r="B150" s="584" t="s">
        <v>859</v>
      </c>
      <c r="C150" s="671"/>
      <c r="D150" s="672"/>
      <c r="E150" s="607"/>
      <c r="F150" s="587"/>
    </row>
    <row r="151" spans="1:7" s="194" customFormat="1" ht="15.5">
      <c r="A151" s="729">
        <v>4</v>
      </c>
      <c r="B151" s="729" t="s">
        <v>1223</v>
      </c>
      <c r="C151" s="729"/>
      <c r="D151" s="729"/>
      <c r="E151" s="729"/>
      <c r="F151" s="729"/>
      <c r="G151" s="802"/>
    </row>
    <row r="152" spans="1:7" s="166" customFormat="1" ht="16.5" customHeight="1">
      <c r="A152" s="728">
        <v>4.8</v>
      </c>
      <c r="B152" s="729" t="s">
        <v>1180</v>
      </c>
      <c r="C152" s="730"/>
      <c r="D152" s="731"/>
      <c r="E152" s="730"/>
      <c r="F152" s="732">
        <f t="shared" si="8"/>
        <v>0</v>
      </c>
    </row>
    <row r="153" spans="1:7" s="166" customFormat="1" ht="62">
      <c r="A153" s="733"/>
      <c r="B153" s="734" t="s">
        <v>479</v>
      </c>
      <c r="C153" s="735"/>
      <c r="D153" s="736"/>
      <c r="E153" s="737"/>
      <c r="F153" s="727">
        <f t="shared" si="8"/>
        <v>0</v>
      </c>
    </row>
    <row r="154" spans="1:7" s="169" customFormat="1" ht="15.5">
      <c r="A154" s="733" t="s">
        <v>1396</v>
      </c>
      <c r="B154" s="738" t="s">
        <v>513</v>
      </c>
      <c r="C154" s="735" t="s">
        <v>5</v>
      </c>
      <c r="D154" s="617">
        <v>9</v>
      </c>
      <c r="E154" s="586"/>
      <c r="F154" s="612">
        <f t="shared" si="8"/>
        <v>0</v>
      </c>
    </row>
    <row r="155" spans="1:7" s="169" customFormat="1" ht="15.5">
      <c r="A155" s="733"/>
      <c r="B155" s="739" t="s">
        <v>198</v>
      </c>
      <c r="C155" s="735"/>
      <c r="D155" s="617"/>
      <c r="E155" s="586"/>
      <c r="F155" s="612">
        <f t="shared" si="8"/>
        <v>0</v>
      </c>
    </row>
    <row r="156" spans="1:7" s="169" customFormat="1" ht="20.399999999999999" customHeight="1">
      <c r="A156" s="733" t="s">
        <v>1397</v>
      </c>
      <c r="B156" s="738" t="s">
        <v>269</v>
      </c>
      <c r="C156" s="735" t="s">
        <v>12</v>
      </c>
      <c r="D156" s="617">
        <v>6</v>
      </c>
      <c r="E156" s="586"/>
      <c r="F156" s="612">
        <f t="shared" si="8"/>
        <v>0</v>
      </c>
    </row>
    <row r="157" spans="1:7" s="169" customFormat="1" ht="15.5">
      <c r="A157" s="733"/>
      <c r="B157" s="729" t="s">
        <v>199</v>
      </c>
      <c r="C157" s="737"/>
      <c r="D157" s="617"/>
      <c r="E157" s="586"/>
      <c r="F157" s="612">
        <f t="shared" si="8"/>
        <v>0</v>
      </c>
    </row>
    <row r="158" spans="1:7" s="169" customFormat="1" ht="124">
      <c r="A158" s="733"/>
      <c r="B158" s="740" t="s">
        <v>480</v>
      </c>
      <c r="C158" s="735"/>
      <c r="D158" s="617"/>
      <c r="E158" s="586"/>
      <c r="F158" s="612">
        <f t="shared" si="8"/>
        <v>0</v>
      </c>
    </row>
    <row r="159" spans="1:7" s="169" customFormat="1" ht="15.5">
      <c r="A159" s="733"/>
      <c r="B159" s="741" t="s">
        <v>206</v>
      </c>
      <c r="C159" s="735"/>
      <c r="D159" s="617"/>
      <c r="E159" s="586"/>
      <c r="F159" s="612">
        <f t="shared" si="8"/>
        <v>0</v>
      </c>
    </row>
    <row r="160" spans="1:7" s="169" customFormat="1" ht="15.5">
      <c r="A160" s="733" t="s">
        <v>1398</v>
      </c>
      <c r="B160" s="741" t="s">
        <v>207</v>
      </c>
      <c r="C160" s="735" t="s">
        <v>12</v>
      </c>
      <c r="D160" s="617">
        <v>9</v>
      </c>
      <c r="E160" s="586"/>
      <c r="F160" s="612">
        <f t="shared" si="8"/>
        <v>0</v>
      </c>
    </row>
    <row r="161" spans="1:7" s="169" customFormat="1" ht="15.5">
      <c r="A161" s="733"/>
      <c r="B161" s="739" t="s">
        <v>514</v>
      </c>
      <c r="C161" s="737"/>
      <c r="D161" s="617"/>
      <c r="E161" s="586"/>
      <c r="F161" s="612">
        <f t="shared" si="8"/>
        <v>0</v>
      </c>
    </row>
    <row r="162" spans="1:7" s="169" customFormat="1" ht="79.25" customHeight="1">
      <c r="A162" s="733"/>
      <c r="B162" s="738" t="s">
        <v>515</v>
      </c>
      <c r="C162" s="735"/>
      <c r="D162" s="617"/>
      <c r="E162" s="586"/>
      <c r="F162" s="612">
        <f t="shared" si="8"/>
        <v>0</v>
      </c>
    </row>
    <row r="163" spans="1:7" s="169" customFormat="1" ht="15.5">
      <c r="A163" s="733" t="s">
        <v>1399</v>
      </c>
      <c r="B163" s="741" t="s">
        <v>516</v>
      </c>
      <c r="C163" s="735" t="s">
        <v>4</v>
      </c>
      <c r="D163" s="617">
        <v>50</v>
      </c>
      <c r="E163" s="586"/>
      <c r="F163" s="612">
        <f t="shared" si="8"/>
        <v>0</v>
      </c>
    </row>
    <row r="164" spans="1:7" s="170" customFormat="1" ht="15.5">
      <c r="A164" s="728"/>
      <c r="B164" s="734" t="s">
        <v>1226</v>
      </c>
      <c r="C164" s="742"/>
      <c r="D164" s="715"/>
      <c r="E164" s="602"/>
      <c r="F164" s="605">
        <f>SUM(F152:F163)</f>
        <v>0</v>
      </c>
    </row>
    <row r="165" spans="1:7" s="169" customFormat="1" ht="15.5">
      <c r="A165" s="733"/>
      <c r="B165" s="741"/>
      <c r="C165" s="735"/>
      <c r="D165" s="617"/>
      <c r="E165" s="586"/>
      <c r="F165" s="612"/>
    </row>
    <row r="166" spans="1:7" s="169" customFormat="1" ht="15.5">
      <c r="A166" s="728">
        <v>4.9000000000000004</v>
      </c>
      <c r="B166" s="729" t="s">
        <v>1221</v>
      </c>
      <c r="C166" s="742"/>
      <c r="D166" s="617"/>
      <c r="E166" s="586"/>
      <c r="F166" s="612"/>
    </row>
    <row r="167" spans="1:7" s="169" customFormat="1" ht="46.5">
      <c r="A167" s="744"/>
      <c r="B167" s="723" t="s">
        <v>517</v>
      </c>
      <c r="C167" s="745"/>
      <c r="D167" s="617"/>
      <c r="E167" s="586"/>
      <c r="F167" s="612">
        <f t="shared" ref="F167:F168" si="9">E167*D167</f>
        <v>0</v>
      </c>
    </row>
    <row r="168" spans="1:7" s="169" customFormat="1" ht="15.5">
      <c r="A168" s="744" t="s">
        <v>1367</v>
      </c>
      <c r="B168" s="746" t="s">
        <v>518</v>
      </c>
      <c r="C168" s="745" t="s">
        <v>519</v>
      </c>
      <c r="D168" s="617">
        <v>3</v>
      </c>
      <c r="E168" s="586"/>
      <c r="F168" s="612">
        <f t="shared" si="9"/>
        <v>0</v>
      </c>
    </row>
    <row r="169" spans="1:7" s="582" customFormat="1">
      <c r="A169" s="591"/>
      <c r="B169" s="614" t="s">
        <v>351</v>
      </c>
      <c r="C169" s="606"/>
      <c r="D169" s="606"/>
      <c r="E169" s="586"/>
      <c r="F169" s="612"/>
      <c r="G169" s="186"/>
    </row>
    <row r="170" spans="1:7" s="582" customFormat="1" ht="43.5">
      <c r="A170" s="591"/>
      <c r="B170" s="596" t="s">
        <v>1218</v>
      </c>
      <c r="C170" s="606"/>
      <c r="D170" s="606"/>
      <c r="E170" s="586"/>
      <c r="F170" s="612"/>
      <c r="G170" s="186"/>
    </row>
    <row r="171" spans="1:7" s="582" customFormat="1" ht="130.5">
      <c r="A171" s="591"/>
      <c r="B171" s="590" t="s">
        <v>1219</v>
      </c>
      <c r="C171" s="606" t="s">
        <v>5</v>
      </c>
      <c r="D171" s="606">
        <v>2</v>
      </c>
      <c r="E171" s="586"/>
      <c r="F171" s="612">
        <f>D171*E171</f>
        <v>0</v>
      </c>
      <c r="G171" s="186"/>
    </row>
    <row r="172" spans="1:7" s="604" customFormat="1">
      <c r="A172" s="583"/>
      <c r="B172" s="599" t="s">
        <v>1220</v>
      </c>
      <c r="F172" s="620">
        <f>SUM(F168:F171)</f>
        <v>0</v>
      </c>
      <c r="G172" s="799"/>
    </row>
    <row r="173" spans="1:7" s="132" customFormat="1">
      <c r="A173" s="583"/>
      <c r="B173" s="599"/>
      <c r="C173" s="604"/>
      <c r="D173" s="604"/>
      <c r="E173" s="604"/>
      <c r="F173" s="620"/>
    </row>
    <row r="174" spans="1:7" s="169" customFormat="1" ht="15.5">
      <c r="A174" s="722">
        <v>4.9000000000000004</v>
      </c>
      <c r="B174" s="748" t="s">
        <v>599</v>
      </c>
      <c r="C174" s="636"/>
      <c r="D174" s="617"/>
      <c r="E174" s="586"/>
      <c r="F174" s="612"/>
    </row>
    <row r="175" spans="1:7" s="170" customFormat="1" ht="51" customHeight="1">
      <c r="A175" s="744" t="s">
        <v>1367</v>
      </c>
      <c r="B175" s="746" t="s">
        <v>524</v>
      </c>
      <c r="C175" s="745" t="s">
        <v>146</v>
      </c>
      <c r="D175" s="617" t="s">
        <v>439</v>
      </c>
      <c r="E175" s="586"/>
      <c r="F175" s="612"/>
    </row>
    <row r="176" spans="1:7" s="170" customFormat="1" ht="15.5">
      <c r="A176" s="722"/>
      <c r="B176" s="747"/>
      <c r="C176" s="636"/>
      <c r="D176" s="731"/>
      <c r="E176" s="730"/>
      <c r="F176" s="751"/>
    </row>
    <row r="177" spans="1:7" s="159" customFormat="1">
      <c r="A177" s="678"/>
      <c r="B177" s="674" t="s">
        <v>587</v>
      </c>
      <c r="C177" s="648"/>
      <c r="D177" s="617"/>
      <c r="E177" s="618"/>
      <c r="F177" s="789">
        <f>SUM(F175:F176)</f>
        <v>0</v>
      </c>
    </row>
    <row r="178" spans="1:7">
      <c r="A178" s="670"/>
      <c r="B178" s="588"/>
      <c r="C178" s="598"/>
      <c r="D178" s="585"/>
      <c r="E178" s="607"/>
      <c r="F178" s="587"/>
      <c r="G178" s="186"/>
    </row>
    <row r="179" spans="1:7">
      <c r="A179" s="670"/>
      <c r="B179" s="588"/>
      <c r="C179" s="598"/>
      <c r="D179" s="585"/>
      <c r="E179" s="607"/>
      <c r="F179" s="587"/>
      <c r="G179" s="186"/>
    </row>
    <row r="180" spans="1:7" s="132" customFormat="1">
      <c r="A180" s="668"/>
      <c r="B180" s="589" t="s">
        <v>1227</v>
      </c>
      <c r="C180" s="592"/>
      <c r="D180" s="601"/>
      <c r="E180" s="801"/>
      <c r="F180" s="603"/>
    </row>
    <row r="181" spans="1:7" s="131" customFormat="1">
      <c r="A181" s="670"/>
      <c r="B181" s="588"/>
      <c r="C181" s="598"/>
      <c r="D181" s="585"/>
      <c r="E181" s="607"/>
      <c r="F181" s="587"/>
    </row>
    <row r="182" spans="1:7" s="131" customFormat="1">
      <c r="A182" s="670"/>
      <c r="B182" s="584" t="s">
        <v>1932</v>
      </c>
      <c r="C182" s="671"/>
      <c r="D182" s="672"/>
      <c r="E182" s="607"/>
      <c r="F182" s="587"/>
    </row>
    <row r="183" spans="1:7" s="159" customFormat="1">
      <c r="A183" s="678"/>
      <c r="B183" s="674"/>
      <c r="C183" s="648"/>
      <c r="D183" s="617"/>
      <c r="E183" s="618"/>
      <c r="F183" s="675"/>
    </row>
    <row r="184" spans="1:7" s="169" customFormat="1" ht="15.5">
      <c r="A184" s="744"/>
      <c r="B184" s="590" t="s">
        <v>437</v>
      </c>
      <c r="C184" s="591"/>
      <c r="D184" s="586"/>
      <c r="E184" s="597"/>
      <c r="F184" s="803">
        <f>F43</f>
        <v>0</v>
      </c>
    </row>
    <row r="185" spans="1:7" s="169" customFormat="1" ht="15.5">
      <c r="A185" s="744"/>
      <c r="B185" s="590"/>
      <c r="C185" s="591"/>
      <c r="D185" s="586"/>
      <c r="E185" s="597"/>
      <c r="F185" s="803"/>
    </row>
    <row r="186" spans="1:7" s="169" customFormat="1" ht="15.5">
      <c r="A186" s="744"/>
      <c r="B186" s="590" t="s">
        <v>1063</v>
      </c>
      <c r="C186" s="591"/>
      <c r="D186" s="586"/>
      <c r="E186" s="597"/>
      <c r="F186" s="803">
        <f>F58</f>
        <v>0</v>
      </c>
    </row>
    <row r="187" spans="1:7" s="169" customFormat="1" ht="15.5">
      <c r="A187" s="744"/>
      <c r="B187" s="590"/>
      <c r="C187" s="591"/>
      <c r="D187" s="586"/>
      <c r="E187" s="597"/>
      <c r="F187" s="803"/>
    </row>
    <row r="188" spans="1:7" s="169" customFormat="1" ht="15.5">
      <c r="A188" s="744"/>
      <c r="B188" s="590" t="s">
        <v>1071</v>
      </c>
      <c r="C188" s="591"/>
      <c r="D188" s="586"/>
      <c r="E188" s="597"/>
      <c r="F188" s="803">
        <f>F72</f>
        <v>0</v>
      </c>
    </row>
    <row r="189" spans="1:7" s="169" customFormat="1" ht="15.5">
      <c r="A189" s="744"/>
      <c r="B189" s="590"/>
      <c r="C189" s="591"/>
      <c r="D189" s="586"/>
      <c r="E189" s="597"/>
      <c r="F189" s="803"/>
    </row>
    <row r="190" spans="1:7" s="169" customFormat="1" ht="15.5">
      <c r="A190" s="744"/>
      <c r="B190" s="590" t="s">
        <v>1162</v>
      </c>
      <c r="C190" s="591"/>
      <c r="D190" s="586"/>
      <c r="E190" s="597"/>
      <c r="F190" s="803">
        <f>F100</f>
        <v>0</v>
      </c>
    </row>
    <row r="191" spans="1:7" s="169" customFormat="1" ht="15.5">
      <c r="A191" s="744"/>
      <c r="B191" s="590"/>
      <c r="C191" s="591"/>
      <c r="D191" s="586"/>
      <c r="E191" s="597"/>
      <c r="F191" s="803"/>
    </row>
    <row r="192" spans="1:7" s="169" customFormat="1" ht="15.5">
      <c r="A192" s="744"/>
      <c r="B192" s="590" t="s">
        <v>1168</v>
      </c>
      <c r="C192" s="591"/>
      <c r="D192" s="586"/>
      <c r="E192" s="597"/>
      <c r="F192" s="803">
        <f>F115</f>
        <v>0</v>
      </c>
    </row>
    <row r="193" spans="1:7" s="169" customFormat="1" ht="15.5">
      <c r="A193" s="744"/>
      <c r="B193" s="590"/>
      <c r="C193" s="591"/>
      <c r="D193" s="586"/>
      <c r="E193" s="597"/>
      <c r="F193" s="803"/>
    </row>
    <row r="194" spans="1:7" s="169" customFormat="1" ht="15.5">
      <c r="A194" s="744"/>
      <c r="B194" s="746" t="s">
        <v>1177</v>
      </c>
      <c r="C194" s="745"/>
      <c r="D194" s="736"/>
      <c r="E194" s="737"/>
      <c r="F194" s="804">
        <f>F119</f>
        <v>0</v>
      </c>
    </row>
    <row r="195" spans="1:7" s="169" customFormat="1" ht="15.5">
      <c r="A195" s="744"/>
      <c r="B195" s="746"/>
      <c r="C195" s="745"/>
      <c r="D195" s="736"/>
      <c r="E195" s="737"/>
      <c r="F195" s="804"/>
    </row>
    <row r="196" spans="1:7" s="169" customFormat="1" ht="15.5">
      <c r="A196" s="744"/>
      <c r="B196" s="746" t="s">
        <v>1077</v>
      </c>
      <c r="C196" s="745"/>
      <c r="D196" s="736"/>
      <c r="E196" s="737"/>
      <c r="F196" s="804">
        <f>F142</f>
        <v>0</v>
      </c>
    </row>
    <row r="197" spans="1:7" s="169" customFormat="1" ht="15.5">
      <c r="A197" s="744"/>
      <c r="B197" s="746"/>
      <c r="C197" s="745"/>
      <c r="D197" s="736"/>
      <c r="E197" s="737"/>
      <c r="F197" s="804"/>
    </row>
    <row r="198" spans="1:7" s="169" customFormat="1" ht="15.5">
      <c r="A198" s="744"/>
      <c r="B198" s="741" t="s">
        <v>1180</v>
      </c>
      <c r="C198" s="745"/>
      <c r="D198" s="736"/>
      <c r="E198" s="737"/>
      <c r="F198" s="804">
        <f>F164</f>
        <v>0</v>
      </c>
    </row>
    <row r="199" spans="1:7" s="169" customFormat="1" ht="15.5">
      <c r="A199" s="744"/>
      <c r="B199" s="746"/>
      <c r="C199" s="745"/>
      <c r="D199" s="736"/>
      <c r="E199" s="737"/>
      <c r="F199" s="804"/>
    </row>
    <row r="200" spans="1:7" s="169" customFormat="1" ht="15.5">
      <c r="A200" s="744"/>
      <c r="B200" s="741" t="str">
        <f>B166</f>
        <v>BILL NO. 9: FANS and AC</v>
      </c>
      <c r="C200" s="745"/>
      <c r="D200" s="736"/>
      <c r="E200" s="737"/>
      <c r="F200" s="804">
        <f>F172</f>
        <v>0</v>
      </c>
    </row>
    <row r="201" spans="1:7" s="169" customFormat="1" ht="15.5">
      <c r="A201" s="744"/>
      <c r="B201" s="746"/>
      <c r="C201" s="745"/>
      <c r="D201" s="736"/>
      <c r="E201" s="737"/>
      <c r="F201" s="804"/>
    </row>
    <row r="202" spans="1:7" s="169" customFormat="1" ht="15.5">
      <c r="A202" s="744"/>
      <c r="B202" s="746" t="s">
        <v>1189</v>
      </c>
      <c r="C202" s="745"/>
      <c r="D202" s="736"/>
      <c r="E202" s="737"/>
      <c r="F202" s="804">
        <f>F177</f>
        <v>0</v>
      </c>
    </row>
    <row r="203" spans="1:7" s="169" customFormat="1" ht="15.5">
      <c r="A203" s="744"/>
      <c r="B203" s="746"/>
      <c r="C203" s="745"/>
      <c r="D203" s="736"/>
      <c r="E203" s="737"/>
      <c r="F203" s="804"/>
    </row>
    <row r="204" spans="1:7" s="169" customFormat="1" ht="15.5">
      <c r="A204" s="744"/>
      <c r="B204" s="746"/>
      <c r="C204" s="745"/>
      <c r="D204" s="736"/>
      <c r="E204" s="737"/>
      <c r="F204" s="804"/>
    </row>
    <row r="205" spans="1:7" s="169" customFormat="1" ht="15.5">
      <c r="A205" s="744"/>
      <c r="B205" s="746"/>
      <c r="C205" s="745"/>
      <c r="D205" s="736"/>
      <c r="E205" s="737"/>
      <c r="F205" s="804"/>
    </row>
    <row r="206" spans="1:7" s="159" customFormat="1" ht="15.5">
      <c r="A206" s="678"/>
      <c r="B206" s="805" t="s">
        <v>587</v>
      </c>
      <c r="C206" s="753"/>
      <c r="D206" s="754"/>
      <c r="E206" s="755"/>
      <c r="F206" s="806">
        <f>SUM(F184:F205)</f>
        <v>0</v>
      </c>
      <c r="G206" s="940"/>
    </row>
    <row r="207" spans="1:7">
      <c r="A207" s="670"/>
      <c r="B207" s="588"/>
      <c r="C207" s="598"/>
      <c r="D207" s="585"/>
      <c r="E207" s="607"/>
      <c r="F207" s="587"/>
      <c r="G207" s="186"/>
    </row>
  </sheetData>
  <pageMargins left="0.7" right="0.7" top="0.75" bottom="0.75" header="0.3" footer="0.3"/>
  <pageSetup orientation="portrait" r:id="rId1"/>
  <rowBreaks count="3" manualBreakCount="3">
    <brk id="148" max="16383" man="1"/>
    <brk id="165" max="5" man="1"/>
    <brk id="179"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19" zoomScale="96" zoomScaleNormal="145" workbookViewId="0">
      <selection activeCell="A35" sqref="A35:XFD43"/>
    </sheetView>
  </sheetViews>
  <sheetFormatPr defaultRowHeight="14.5"/>
  <cols>
    <col min="1" max="1" width="9.36328125" customWidth="1"/>
    <col min="2" max="2" width="43.453125" customWidth="1"/>
    <col min="5" max="5" width="6.08984375" bestFit="1" customWidth="1"/>
    <col min="6" max="6" width="10.6328125" bestFit="1" customWidth="1"/>
    <col min="8" max="8" width="40.36328125" customWidth="1"/>
  </cols>
  <sheetData>
    <row r="1" spans="1:6" s="39" customFormat="1" ht="15" thickBot="1">
      <c r="A1" s="36" t="s">
        <v>34</v>
      </c>
      <c r="B1" s="37" t="s">
        <v>369</v>
      </c>
      <c r="C1" s="36" t="s">
        <v>34</v>
      </c>
      <c r="D1" s="36" t="s">
        <v>34</v>
      </c>
      <c r="E1" s="36" t="s">
        <v>370</v>
      </c>
      <c r="F1" s="36" t="s">
        <v>371</v>
      </c>
    </row>
    <row r="2" spans="1:6" s="39" customFormat="1" ht="15" thickBot="1">
      <c r="A2" s="36" t="s">
        <v>34</v>
      </c>
      <c r="B2" s="36" t="s">
        <v>372</v>
      </c>
      <c r="C2" s="36" t="s">
        <v>34</v>
      </c>
      <c r="D2" s="36" t="s">
        <v>34</v>
      </c>
      <c r="E2" s="36" t="s">
        <v>370</v>
      </c>
      <c r="F2" s="36" t="s">
        <v>371</v>
      </c>
    </row>
    <row r="3" spans="1:6" s="39" customFormat="1" ht="15" thickBot="1">
      <c r="A3" s="36" t="s">
        <v>34</v>
      </c>
      <c r="B3" s="36" t="s">
        <v>373</v>
      </c>
      <c r="C3" s="36" t="s">
        <v>34</v>
      </c>
      <c r="D3" s="36" t="s">
        <v>34</v>
      </c>
      <c r="E3" s="36" t="s">
        <v>370</v>
      </c>
      <c r="F3" s="36" t="s">
        <v>371</v>
      </c>
    </row>
    <row r="4" spans="1:6" s="39" customFormat="1" ht="29.5" thickBot="1">
      <c r="A4" s="97">
        <v>4.5</v>
      </c>
      <c r="B4" s="36" t="s">
        <v>374</v>
      </c>
      <c r="C4" s="36" t="s">
        <v>33</v>
      </c>
      <c r="D4" s="36">
        <f>120*2+894</f>
        <v>1134</v>
      </c>
      <c r="E4" s="36">
        <v>2.5</v>
      </c>
      <c r="F4" s="98">
        <f>E4*D4</f>
        <v>2835</v>
      </c>
    </row>
    <row r="5" spans="1:6" s="39" customFormat="1" ht="15" thickBot="1">
      <c r="A5" s="36">
        <v>4.51</v>
      </c>
      <c r="B5" s="36" t="s">
        <v>375</v>
      </c>
      <c r="C5" s="36" t="s">
        <v>50</v>
      </c>
      <c r="D5" s="36">
        <f>44+90</f>
        <v>134</v>
      </c>
      <c r="E5" s="36">
        <v>0.5</v>
      </c>
      <c r="F5" s="98">
        <f t="shared" ref="F5:F34" si="0">E5*D5</f>
        <v>67</v>
      </c>
    </row>
    <row r="6" spans="1:6" s="39" customFormat="1" ht="15" thickBot="1">
      <c r="A6" s="36" t="s">
        <v>34</v>
      </c>
      <c r="B6" s="37" t="s">
        <v>376</v>
      </c>
      <c r="C6" s="36" t="s">
        <v>34</v>
      </c>
      <c r="D6" s="36" t="s">
        <v>34</v>
      </c>
      <c r="E6" s="36" t="s">
        <v>370</v>
      </c>
      <c r="F6" s="98"/>
    </row>
    <row r="7" spans="1:6" s="39" customFormat="1" ht="15" thickBot="1">
      <c r="A7" s="36" t="s">
        <v>34</v>
      </c>
      <c r="B7" s="36" t="s">
        <v>377</v>
      </c>
      <c r="C7" s="36" t="s">
        <v>34</v>
      </c>
      <c r="D7" s="36"/>
      <c r="E7" s="36"/>
      <c r="F7" s="98"/>
    </row>
    <row r="8" spans="1:6" s="39" customFormat="1" ht="15" thickBot="1">
      <c r="A8" s="36" t="s">
        <v>34</v>
      </c>
      <c r="B8" s="36" t="s">
        <v>378</v>
      </c>
      <c r="C8" s="36" t="s">
        <v>34</v>
      </c>
      <c r="D8" s="36"/>
      <c r="E8" s="36"/>
      <c r="F8" s="98"/>
    </row>
    <row r="9" spans="1:6" s="39" customFormat="1" ht="15" thickBot="1">
      <c r="A9" s="36">
        <v>4.5199999999999996</v>
      </c>
      <c r="B9" s="36" t="s">
        <v>429</v>
      </c>
      <c r="C9" s="36" t="s">
        <v>50</v>
      </c>
      <c r="D9" s="36">
        <f>9.935*2*31+320</f>
        <v>935.97</v>
      </c>
      <c r="E9" s="36">
        <v>2.5</v>
      </c>
      <c r="F9" s="98">
        <f>E9*D9</f>
        <v>2339.9250000000002</v>
      </c>
    </row>
    <row r="10" spans="1:6" s="39" customFormat="1" ht="15" thickBot="1">
      <c r="A10" s="36">
        <v>4.53</v>
      </c>
      <c r="B10" s="36" t="s">
        <v>430</v>
      </c>
      <c r="C10" s="36" t="s">
        <v>50</v>
      </c>
      <c r="D10" s="36">
        <f>D9</f>
        <v>935.97</v>
      </c>
      <c r="E10" s="36">
        <v>2.5</v>
      </c>
      <c r="F10" s="98">
        <f>E10*D10</f>
        <v>2339.9250000000002</v>
      </c>
    </row>
    <row r="11" spans="1:6" s="39" customFormat="1" ht="15" thickBot="1">
      <c r="A11" s="36">
        <v>4.54</v>
      </c>
      <c r="B11" s="36" t="s">
        <v>427</v>
      </c>
      <c r="C11" s="36" t="s">
        <v>50</v>
      </c>
      <c r="D11" s="36">
        <f>421+1443</f>
        <v>1864</v>
      </c>
      <c r="E11" s="36">
        <v>1.5</v>
      </c>
      <c r="F11" s="98">
        <f t="shared" si="0"/>
        <v>2796</v>
      </c>
    </row>
    <row r="12" spans="1:6" s="39" customFormat="1" ht="15" thickBot="1">
      <c r="A12" s="36">
        <v>4.55</v>
      </c>
      <c r="B12" s="36" t="s">
        <v>380</v>
      </c>
      <c r="C12" s="36" t="s">
        <v>50</v>
      </c>
      <c r="D12" s="36">
        <v>1580</v>
      </c>
      <c r="E12" s="36">
        <v>1.5</v>
      </c>
      <c r="F12" s="98">
        <f t="shared" si="0"/>
        <v>2370</v>
      </c>
    </row>
    <row r="13" spans="1:6" s="39" customFormat="1" ht="15" thickBot="1">
      <c r="A13" s="36">
        <v>4.5599999999999996</v>
      </c>
      <c r="B13" s="36" t="s">
        <v>428</v>
      </c>
      <c r="C13" s="36" t="s">
        <v>50</v>
      </c>
      <c r="D13" s="36">
        <f>61+155</f>
        <v>216</v>
      </c>
      <c r="E13" s="36">
        <v>1.5</v>
      </c>
      <c r="F13" s="98">
        <f t="shared" si="0"/>
        <v>324</v>
      </c>
    </row>
    <row r="14" spans="1:6" s="39" customFormat="1" ht="15" thickBot="1">
      <c r="A14" s="36">
        <v>4.57</v>
      </c>
      <c r="B14" s="36" t="s">
        <v>382</v>
      </c>
      <c r="C14" s="36" t="s">
        <v>50</v>
      </c>
      <c r="D14" s="36">
        <f>76+126</f>
        <v>202</v>
      </c>
      <c r="E14" s="36">
        <v>1.5</v>
      </c>
      <c r="F14" s="98">
        <f t="shared" si="0"/>
        <v>303</v>
      </c>
    </row>
    <row r="15" spans="1:6" s="39" customFormat="1" ht="15" thickBot="1">
      <c r="A15" s="36">
        <v>4.58</v>
      </c>
      <c r="B15" s="36" t="s">
        <v>383</v>
      </c>
      <c r="C15" s="36" t="s">
        <v>50</v>
      </c>
      <c r="D15" s="36">
        <f>D14</f>
        <v>202</v>
      </c>
      <c r="E15" s="36">
        <v>1.2</v>
      </c>
      <c r="F15" s="98">
        <f t="shared" si="0"/>
        <v>242.39999999999998</v>
      </c>
    </row>
    <row r="16" spans="1:6" s="39" customFormat="1" ht="15" thickBot="1">
      <c r="A16" s="36">
        <v>4.59</v>
      </c>
      <c r="B16" s="36" t="s">
        <v>384</v>
      </c>
      <c r="C16" s="36" t="s">
        <v>50</v>
      </c>
      <c r="D16" s="36">
        <f>D5</f>
        <v>134</v>
      </c>
      <c r="E16" s="36">
        <v>1.5</v>
      </c>
      <c r="F16" s="98">
        <f t="shared" si="0"/>
        <v>201</v>
      </c>
    </row>
    <row r="17" spans="1:6" s="39" customFormat="1" ht="15" thickBot="1">
      <c r="A17" s="36">
        <v>4.5999999999999996</v>
      </c>
      <c r="B17" s="36" t="s">
        <v>385</v>
      </c>
      <c r="C17" s="36" t="s">
        <v>34</v>
      </c>
      <c r="D17" s="36" t="s">
        <v>34</v>
      </c>
      <c r="E17" s="36" t="s">
        <v>370</v>
      </c>
      <c r="F17" s="98"/>
    </row>
    <row r="18" spans="1:6" s="39" customFormat="1" ht="29.5" thickBot="1">
      <c r="A18" s="36">
        <v>4.6100000000000101</v>
      </c>
      <c r="B18" s="36" t="s">
        <v>386</v>
      </c>
      <c r="C18" s="36" t="s">
        <v>387</v>
      </c>
      <c r="D18" s="36">
        <v>200</v>
      </c>
      <c r="E18" s="36">
        <v>15</v>
      </c>
      <c r="F18" s="98">
        <f t="shared" si="0"/>
        <v>3000</v>
      </c>
    </row>
    <row r="19" spans="1:6" s="39" customFormat="1" ht="15" thickBot="1">
      <c r="A19" s="36">
        <v>4.6200000000000099</v>
      </c>
      <c r="B19" s="37" t="s">
        <v>388</v>
      </c>
      <c r="C19" s="36" t="s">
        <v>34</v>
      </c>
      <c r="D19" s="36" t="s">
        <v>34</v>
      </c>
      <c r="E19" s="36" t="s">
        <v>370</v>
      </c>
      <c r="F19" s="98"/>
    </row>
    <row r="20" spans="1:6" s="39" customFormat="1" ht="15" thickBot="1">
      <c r="A20" s="36">
        <v>4.6300000000000097</v>
      </c>
      <c r="B20" s="36" t="s">
        <v>389</v>
      </c>
      <c r="C20" s="36" t="s">
        <v>34</v>
      </c>
      <c r="D20" s="36" t="s">
        <v>34</v>
      </c>
      <c r="E20" s="36" t="s">
        <v>370</v>
      </c>
      <c r="F20" s="98"/>
    </row>
    <row r="21" spans="1:6" s="39" customFormat="1" ht="15" thickBot="1">
      <c r="A21" s="36">
        <v>4.6400000000000103</v>
      </c>
      <c r="B21" s="36" t="s">
        <v>390</v>
      </c>
      <c r="C21" s="36" t="s">
        <v>33</v>
      </c>
      <c r="D21" s="36">
        <f>36+76</f>
        <v>112</v>
      </c>
      <c r="E21" s="36">
        <v>6</v>
      </c>
      <c r="F21" s="98">
        <f t="shared" si="0"/>
        <v>672</v>
      </c>
    </row>
    <row r="22" spans="1:6" s="39" customFormat="1" ht="15" thickBot="1">
      <c r="A22" s="36">
        <v>4.6500000000000101</v>
      </c>
      <c r="B22" s="40" t="s">
        <v>391</v>
      </c>
      <c r="C22" s="40" t="s">
        <v>50</v>
      </c>
      <c r="D22" s="40">
        <f>60+135</f>
        <v>195</v>
      </c>
      <c r="E22" s="40">
        <v>5</v>
      </c>
      <c r="F22" s="99">
        <f t="shared" si="0"/>
        <v>975</v>
      </c>
    </row>
    <row r="23" spans="1:6" s="39" customFormat="1" ht="15" thickBot="1">
      <c r="A23" s="36">
        <v>4.6600000000000099</v>
      </c>
      <c r="B23" s="36" t="s">
        <v>392</v>
      </c>
      <c r="C23" s="36" t="s">
        <v>34</v>
      </c>
      <c r="D23" s="36" t="s">
        <v>34</v>
      </c>
      <c r="E23" s="36" t="s">
        <v>370</v>
      </c>
      <c r="F23" s="98"/>
    </row>
    <row r="24" spans="1:6" s="39" customFormat="1" ht="29.5" thickBot="1">
      <c r="A24" s="36">
        <v>4.6700000000000097</v>
      </c>
      <c r="B24" s="36" t="s">
        <v>393</v>
      </c>
      <c r="C24" s="36" t="s">
        <v>33</v>
      </c>
      <c r="D24" s="36">
        <f>D21</f>
        <v>112</v>
      </c>
      <c r="E24" s="36">
        <v>5</v>
      </c>
      <c r="F24" s="98">
        <f t="shared" si="0"/>
        <v>560</v>
      </c>
    </row>
    <row r="25" spans="1:6" s="39" customFormat="1" ht="29.5" thickBot="1">
      <c r="A25" s="36">
        <v>4.6800000000000104</v>
      </c>
      <c r="B25" s="40" t="s">
        <v>394</v>
      </c>
      <c r="C25" s="40" t="s">
        <v>50</v>
      </c>
      <c r="D25" s="40">
        <f>D24</f>
        <v>112</v>
      </c>
      <c r="E25" s="40">
        <v>5</v>
      </c>
      <c r="F25" s="99">
        <f t="shared" si="0"/>
        <v>560</v>
      </c>
    </row>
    <row r="26" spans="1:6" s="39" customFormat="1" ht="15" thickBot="1">
      <c r="A26" s="36">
        <v>4.6900000000000102</v>
      </c>
      <c r="B26" s="37" t="s">
        <v>395</v>
      </c>
      <c r="C26" s="36" t="s">
        <v>34</v>
      </c>
      <c r="D26" s="36" t="s">
        <v>34</v>
      </c>
      <c r="E26" s="36" t="s">
        <v>370</v>
      </c>
      <c r="F26" s="98"/>
    </row>
    <row r="27" spans="1:6" s="39" customFormat="1" ht="44" thickBot="1">
      <c r="A27" s="36">
        <v>4.7000000000000099</v>
      </c>
      <c r="B27" s="40" t="s">
        <v>396</v>
      </c>
      <c r="C27" s="40" t="s">
        <v>50</v>
      </c>
      <c r="D27" s="40">
        <f>D22</f>
        <v>195</v>
      </c>
      <c r="E27" s="40">
        <v>6</v>
      </c>
      <c r="F27" s="99">
        <f t="shared" si="0"/>
        <v>1170</v>
      </c>
    </row>
    <row r="28" spans="1:6" s="39" customFormat="1" ht="15" thickBot="1">
      <c r="A28" s="36">
        <v>4.7100000000000097</v>
      </c>
      <c r="B28" s="37" t="s">
        <v>397</v>
      </c>
      <c r="C28" s="36" t="s">
        <v>34</v>
      </c>
      <c r="D28" s="36" t="s">
        <v>34</v>
      </c>
      <c r="E28" s="36" t="s">
        <v>370</v>
      </c>
      <c r="F28" s="98"/>
    </row>
    <row r="29" spans="1:6" s="39" customFormat="1" ht="29.5" thickBot="1">
      <c r="A29" s="36">
        <v>4.7200000000000104</v>
      </c>
      <c r="B29" s="36" t="s">
        <v>398</v>
      </c>
      <c r="C29" s="36" t="s">
        <v>50</v>
      </c>
      <c r="D29" s="36">
        <v>68</v>
      </c>
      <c r="E29" s="36">
        <v>2.5</v>
      </c>
      <c r="F29" s="98">
        <f t="shared" si="0"/>
        <v>170</v>
      </c>
    </row>
    <row r="30" spans="1:6" s="39" customFormat="1" ht="15" thickBot="1">
      <c r="A30" s="36">
        <v>4.7300000000000102</v>
      </c>
      <c r="B30" s="36" t="s">
        <v>399</v>
      </c>
      <c r="C30" s="36" t="s">
        <v>387</v>
      </c>
      <c r="D30" s="36">
        <f>12+18</f>
        <v>30</v>
      </c>
      <c r="E30" s="36">
        <v>5</v>
      </c>
      <c r="F30" s="98">
        <f t="shared" si="0"/>
        <v>150</v>
      </c>
    </row>
    <row r="31" spans="1:6" s="39" customFormat="1" ht="15" thickBot="1">
      <c r="A31" s="36">
        <v>4.74000000000001</v>
      </c>
      <c r="B31" s="36" t="s">
        <v>400</v>
      </c>
      <c r="C31" s="36" t="s">
        <v>387</v>
      </c>
      <c r="D31" s="36">
        <f>D30</f>
        <v>30</v>
      </c>
      <c r="E31" s="36">
        <v>5</v>
      </c>
      <c r="F31" s="98">
        <f t="shared" si="0"/>
        <v>150</v>
      </c>
    </row>
    <row r="32" spans="1:6" s="39" customFormat="1" ht="29.5" thickBot="1">
      <c r="A32" s="36">
        <v>4.7500000000000204</v>
      </c>
      <c r="B32" s="36" t="s">
        <v>401</v>
      </c>
      <c r="C32" s="36" t="s">
        <v>34</v>
      </c>
      <c r="D32" s="36" t="s">
        <v>34</v>
      </c>
      <c r="E32" s="36" t="s">
        <v>370</v>
      </c>
      <c r="F32" s="98"/>
    </row>
    <row r="33" spans="1:6" s="39" customFormat="1" ht="15" thickBot="1">
      <c r="A33" s="36">
        <v>4.7600000000000202</v>
      </c>
      <c r="B33" s="40" t="s">
        <v>402</v>
      </c>
      <c r="C33" s="40" t="s">
        <v>33</v>
      </c>
      <c r="D33" s="40">
        <f>D22</f>
        <v>195</v>
      </c>
      <c r="E33" s="40">
        <v>5</v>
      </c>
      <c r="F33" s="99">
        <f t="shared" si="0"/>
        <v>975</v>
      </c>
    </row>
    <row r="34" spans="1:6" s="39" customFormat="1" ht="15" thickBot="1">
      <c r="A34" s="36">
        <v>4.77000000000002</v>
      </c>
      <c r="B34" s="40" t="s">
        <v>403</v>
      </c>
      <c r="C34" s="40" t="s">
        <v>33</v>
      </c>
      <c r="D34" s="40">
        <f>D27*1</f>
        <v>195</v>
      </c>
      <c r="E34" s="40">
        <v>20</v>
      </c>
      <c r="F34" s="99">
        <f t="shared" si="0"/>
        <v>3900</v>
      </c>
    </row>
    <row r="35" spans="1:6" s="11" customFormat="1">
      <c r="A35" s="21"/>
      <c r="B35" s="76" t="s">
        <v>431</v>
      </c>
      <c r="C35" s="22"/>
      <c r="D35" s="14"/>
      <c r="E35" s="20"/>
      <c r="F35" s="100">
        <f t="shared" ref="F35:F43" si="1">D35*E35</f>
        <v>0</v>
      </c>
    </row>
    <row r="36" spans="1:6" s="11" customFormat="1">
      <c r="A36" s="21"/>
      <c r="B36" s="77"/>
      <c r="C36" s="20"/>
      <c r="D36" s="14"/>
      <c r="E36" s="20"/>
      <c r="F36" s="100">
        <f t="shared" si="1"/>
        <v>0</v>
      </c>
    </row>
    <row r="37" spans="1:6" s="11" customFormat="1" ht="16.5">
      <c r="A37" s="21"/>
      <c r="B37" s="77" t="s">
        <v>432</v>
      </c>
      <c r="C37" s="22" t="s">
        <v>408</v>
      </c>
      <c r="D37" s="14">
        <v>2780</v>
      </c>
      <c r="E37" s="20">
        <v>1.5</v>
      </c>
      <c r="F37" s="100">
        <f t="shared" si="1"/>
        <v>4170</v>
      </c>
    </row>
    <row r="38" spans="1:6" s="11" customFormat="1">
      <c r="A38" s="21"/>
      <c r="B38" s="77"/>
      <c r="C38" s="20"/>
      <c r="D38" s="14"/>
      <c r="E38" s="20"/>
      <c r="F38" s="100">
        <f t="shared" si="1"/>
        <v>0</v>
      </c>
    </row>
    <row r="39" spans="1:6" s="11" customFormat="1" ht="16.5">
      <c r="A39" s="21"/>
      <c r="B39" s="77" t="s">
        <v>433</v>
      </c>
      <c r="C39" s="22" t="s">
        <v>408</v>
      </c>
      <c r="D39" s="14">
        <v>500</v>
      </c>
      <c r="E39" s="20">
        <v>1.5</v>
      </c>
      <c r="F39" s="100">
        <f t="shared" si="1"/>
        <v>750</v>
      </c>
    </row>
    <row r="40" spans="1:6" s="11" customFormat="1">
      <c r="A40" s="21"/>
      <c r="B40" s="77"/>
      <c r="C40" s="20"/>
      <c r="D40" s="14"/>
      <c r="E40" s="20"/>
      <c r="F40" s="100">
        <f t="shared" si="1"/>
        <v>0</v>
      </c>
    </row>
    <row r="41" spans="1:6" s="11" customFormat="1" ht="29">
      <c r="A41" s="21"/>
      <c r="B41" s="77" t="s">
        <v>434</v>
      </c>
      <c r="C41" s="22" t="s">
        <v>408</v>
      </c>
      <c r="D41" s="14">
        <v>1100</v>
      </c>
      <c r="E41" s="20">
        <v>6.5</v>
      </c>
      <c r="F41" s="100">
        <f t="shared" si="1"/>
        <v>7150</v>
      </c>
    </row>
    <row r="42" spans="1:6" s="11" customFormat="1">
      <c r="A42" s="21"/>
      <c r="B42" s="77"/>
      <c r="C42" s="20"/>
      <c r="D42" s="14"/>
      <c r="E42" s="20"/>
      <c r="F42" s="100">
        <f t="shared" si="1"/>
        <v>0</v>
      </c>
    </row>
    <row r="43" spans="1:6" s="11" customFormat="1">
      <c r="A43" s="21"/>
      <c r="B43" s="77"/>
      <c r="C43" s="20"/>
      <c r="D43" s="14"/>
      <c r="E43" s="20"/>
      <c r="F43" s="100">
        <f t="shared" si="1"/>
        <v>0</v>
      </c>
    </row>
    <row r="44" spans="1:6" s="39" customFormat="1">
      <c r="A44" s="46"/>
      <c r="B44" s="46"/>
      <c r="C44" s="46"/>
      <c r="D44" s="46"/>
      <c r="E44" s="46"/>
      <c r="F44" s="46"/>
    </row>
    <row r="45" spans="1:6" s="11" customFormat="1">
      <c r="A45" s="21"/>
      <c r="B45" s="67" t="s">
        <v>147</v>
      </c>
      <c r="C45" s="68" t="s">
        <v>148</v>
      </c>
      <c r="D45" s="66"/>
      <c r="E45" s="66"/>
      <c r="F45" s="69">
        <f>SUM(F4:F44)</f>
        <v>38170.25</v>
      </c>
    </row>
    <row r="46" spans="1:6" s="11" customFormat="1">
      <c r="A46" s="21"/>
      <c r="B46" s="70"/>
      <c r="C46" s="66"/>
      <c r="F46" s="65">
        <f>D46*E46</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07"/>
  <sheetViews>
    <sheetView view="pageBreakPreview" zoomScale="122" zoomScaleNormal="100" zoomScaleSheetLayoutView="122" workbookViewId="0">
      <pane xSplit="1" ySplit="1" topLeftCell="B2" activePane="bottomRight" state="frozen"/>
      <selection pane="topRight" activeCell="B1" sqref="B1"/>
      <selection pane="bottomLeft" activeCell="A2" sqref="A2"/>
      <selection pane="bottomRight" activeCell="G1" sqref="G1:K1048576"/>
    </sheetView>
  </sheetViews>
  <sheetFormatPr defaultColWidth="9.08984375" defaultRowHeight="14.5"/>
  <cols>
    <col min="1" max="1" width="6.54296875" style="172" bestFit="1" customWidth="1"/>
    <col min="2" max="2" width="52.90625" style="135" customWidth="1"/>
    <col min="3" max="3" width="5.453125" style="133" bestFit="1" customWidth="1"/>
    <col min="4" max="4" width="6.6328125" style="134" bestFit="1" customWidth="1"/>
    <col min="5" max="5" width="6.54296875" style="136" bestFit="1" customWidth="1"/>
    <col min="6" max="6" width="11.1796875" style="173" bestFit="1" customWidth="1"/>
    <col min="7" max="7" width="12.6328125" style="129" bestFit="1" customWidth="1"/>
    <col min="8" max="17" width="9.08984375" style="103"/>
    <col min="18" max="18" width="6.08984375" style="103" customWidth="1"/>
    <col min="19" max="16384" width="9.08984375" style="103"/>
  </cols>
  <sheetData>
    <row r="1" spans="1:7">
      <c r="A1" s="668" t="s">
        <v>0</v>
      </c>
      <c r="B1" s="669" t="s">
        <v>1</v>
      </c>
      <c r="C1" s="592" t="s">
        <v>2</v>
      </c>
      <c r="D1" s="593" t="s">
        <v>426</v>
      </c>
      <c r="E1" s="594" t="s">
        <v>368</v>
      </c>
      <c r="F1" s="595" t="s">
        <v>472</v>
      </c>
      <c r="G1" s="186"/>
    </row>
    <row r="2" spans="1:7" s="11" customFormat="1">
      <c r="A2" s="670"/>
      <c r="B2" s="584" t="str">
        <f>'1 Preliminaries'!B2</f>
        <v>PROPOSED WOMEN TRANSITION CENTER - KISMAYU</v>
      </c>
      <c r="C2" s="671"/>
      <c r="D2" s="672"/>
      <c r="E2" s="607"/>
      <c r="F2" s="587"/>
      <c r="G2" s="131"/>
    </row>
    <row r="3" spans="1:7" s="101" customFormat="1" ht="18" customHeight="1">
      <c r="A3" s="673">
        <v>5</v>
      </c>
      <c r="B3" s="674" t="s">
        <v>1228</v>
      </c>
      <c r="C3" s="648"/>
      <c r="D3" s="617"/>
      <c r="E3" s="618"/>
      <c r="F3" s="675"/>
      <c r="G3" s="159"/>
    </row>
    <row r="4" spans="1:7" s="11" customFormat="1">
      <c r="A4" s="676">
        <v>5.0999999999999996</v>
      </c>
      <c r="B4" s="584" t="s">
        <v>437</v>
      </c>
      <c r="C4" s="597"/>
      <c r="D4" s="606"/>
      <c r="E4" s="586"/>
      <c r="F4" s="612"/>
      <c r="G4" s="131"/>
    </row>
    <row r="5" spans="1:7" s="11" customFormat="1">
      <c r="A5" s="677" t="s">
        <v>604</v>
      </c>
      <c r="B5" s="590" t="s">
        <v>144</v>
      </c>
      <c r="C5" s="617" t="s">
        <v>33</v>
      </c>
      <c r="D5" s="606">
        <v>125</v>
      </c>
      <c r="E5" s="586"/>
      <c r="F5" s="612">
        <f>D5*E5</f>
        <v>0</v>
      </c>
      <c r="G5" s="131"/>
    </row>
    <row r="6" spans="1:7" s="11" customFormat="1">
      <c r="A6" s="677" t="s">
        <v>34</v>
      </c>
      <c r="B6" s="590" t="s">
        <v>145</v>
      </c>
      <c r="C6" s="597"/>
      <c r="D6" s="606"/>
      <c r="E6" s="586"/>
      <c r="F6" s="612">
        <f t="shared" ref="F6:F22" si="0">D6*E6</f>
        <v>0</v>
      </c>
      <c r="G6" s="131"/>
    </row>
    <row r="7" spans="1:7" s="11" customFormat="1" ht="29">
      <c r="A7" s="677" t="s">
        <v>1264</v>
      </c>
      <c r="B7" s="590" t="s">
        <v>438</v>
      </c>
      <c r="C7" s="617" t="s">
        <v>33</v>
      </c>
      <c r="D7" s="606">
        <f>D5</f>
        <v>125</v>
      </c>
      <c r="E7" s="586"/>
      <c r="F7" s="612">
        <f t="shared" si="0"/>
        <v>0</v>
      </c>
      <c r="G7" s="131"/>
    </row>
    <row r="8" spans="1:7" s="159" customFormat="1" ht="29">
      <c r="A8" s="615" t="s">
        <v>1265</v>
      </c>
      <c r="B8" s="616" t="s">
        <v>1255</v>
      </c>
      <c r="C8" s="617" t="s">
        <v>608</v>
      </c>
      <c r="D8" s="617">
        <v>16</v>
      </c>
      <c r="E8" s="618"/>
      <c r="F8" s="619">
        <f t="shared" si="0"/>
        <v>0</v>
      </c>
    </row>
    <row r="9" spans="1:7" s="159" customFormat="1" ht="16.5">
      <c r="A9" s="615" t="s">
        <v>1266</v>
      </c>
      <c r="B9" s="616" t="s">
        <v>1257</v>
      </c>
      <c r="C9" s="617" t="s">
        <v>842</v>
      </c>
      <c r="D9" s="617">
        <v>10</v>
      </c>
      <c r="E9" s="618"/>
      <c r="F9" s="619">
        <f t="shared" si="0"/>
        <v>0</v>
      </c>
    </row>
    <row r="10" spans="1:7" s="159" customFormat="1" ht="16.5">
      <c r="A10" s="615" t="s">
        <v>1267</v>
      </c>
      <c r="B10" s="616" t="s">
        <v>1252</v>
      </c>
      <c r="C10" s="617" t="s">
        <v>842</v>
      </c>
      <c r="D10" s="617">
        <v>8</v>
      </c>
      <c r="E10" s="618"/>
      <c r="F10" s="619">
        <f t="shared" si="0"/>
        <v>0</v>
      </c>
    </row>
    <row r="11" spans="1:7" s="159" customFormat="1" ht="16.5">
      <c r="A11" s="615" t="s">
        <v>1268</v>
      </c>
      <c r="B11" s="616" t="s">
        <v>1253</v>
      </c>
      <c r="C11" s="617" t="s">
        <v>842</v>
      </c>
      <c r="D11" s="617">
        <v>8</v>
      </c>
      <c r="E11" s="618"/>
      <c r="F11" s="619">
        <f t="shared" si="0"/>
        <v>0</v>
      </c>
    </row>
    <row r="12" spans="1:7" s="159" customFormat="1">
      <c r="A12" s="615" t="s">
        <v>1269</v>
      </c>
      <c r="B12" s="616" t="s">
        <v>1254</v>
      </c>
      <c r="C12" s="617"/>
      <c r="D12" s="617"/>
      <c r="E12" s="618"/>
      <c r="F12" s="619"/>
    </row>
    <row r="13" spans="1:7" s="137" customFormat="1">
      <c r="A13" s="678"/>
      <c r="B13" s="674" t="s">
        <v>30</v>
      </c>
      <c r="C13" s="648"/>
      <c r="D13" s="617"/>
      <c r="E13" s="618"/>
      <c r="F13" s="679"/>
      <c r="G13" s="163"/>
    </row>
    <row r="14" spans="1:7" s="11" customFormat="1" ht="29">
      <c r="A14" s="680" t="s">
        <v>1270</v>
      </c>
      <c r="B14" s="590" t="s">
        <v>448</v>
      </c>
      <c r="C14" s="617" t="s">
        <v>33</v>
      </c>
      <c r="D14" s="606">
        <f>D7</f>
        <v>125</v>
      </c>
      <c r="E14" s="586"/>
      <c r="F14" s="612">
        <f t="shared" si="0"/>
        <v>0</v>
      </c>
      <c r="G14" s="131"/>
    </row>
    <row r="15" spans="1:7" s="11" customFormat="1" ht="29">
      <c r="A15" s="680" t="s">
        <v>1271</v>
      </c>
      <c r="B15" s="590" t="s">
        <v>367</v>
      </c>
      <c r="C15" s="617" t="s">
        <v>33</v>
      </c>
      <c r="D15" s="606">
        <f>D14</f>
        <v>125</v>
      </c>
      <c r="E15" s="586"/>
      <c r="F15" s="612">
        <f t="shared" si="0"/>
        <v>0</v>
      </c>
      <c r="G15" s="131"/>
    </row>
    <row r="16" spans="1:7" s="11" customFormat="1">
      <c r="A16" s="677"/>
      <c r="B16" s="584" t="s">
        <v>35</v>
      </c>
      <c r="C16" s="597"/>
      <c r="D16" s="606"/>
      <c r="E16" s="586"/>
      <c r="F16" s="612">
        <f>D16*E16</f>
        <v>0</v>
      </c>
      <c r="G16" s="131"/>
    </row>
    <row r="17" spans="1:7" s="11" customFormat="1" ht="43.5">
      <c r="A17" s="677" t="s">
        <v>1271</v>
      </c>
      <c r="B17" s="590" t="s">
        <v>593</v>
      </c>
      <c r="C17" s="617" t="s">
        <v>33</v>
      </c>
      <c r="D17" s="606">
        <f>D15</f>
        <v>125</v>
      </c>
      <c r="E17" s="586"/>
      <c r="F17" s="612">
        <f>D17*E17</f>
        <v>0</v>
      </c>
      <c r="G17" s="131"/>
    </row>
    <row r="18" spans="1:7" s="11" customFormat="1">
      <c r="A18" s="677"/>
      <c r="B18" s="584" t="s">
        <v>38</v>
      </c>
      <c r="C18" s="597"/>
      <c r="D18" s="606"/>
      <c r="E18" s="586"/>
      <c r="F18" s="612">
        <f>D18*E18</f>
        <v>0</v>
      </c>
      <c r="G18" s="131"/>
    </row>
    <row r="19" spans="1:7" s="11" customFormat="1" ht="43.5">
      <c r="A19" s="677" t="s">
        <v>1272</v>
      </c>
      <c r="B19" s="590" t="s">
        <v>594</v>
      </c>
      <c r="C19" s="617" t="s">
        <v>33</v>
      </c>
      <c r="D19" s="606">
        <f>D17</f>
        <v>125</v>
      </c>
      <c r="E19" s="586"/>
      <c r="F19" s="612">
        <f>D19*E19</f>
        <v>0</v>
      </c>
      <c r="G19" s="131"/>
    </row>
    <row r="20" spans="1:7" s="11" customFormat="1">
      <c r="A20" s="677"/>
      <c r="B20" s="584" t="s">
        <v>443</v>
      </c>
      <c r="C20" s="597"/>
      <c r="D20" s="606"/>
      <c r="E20" s="586"/>
      <c r="F20" s="612">
        <f t="shared" si="0"/>
        <v>0</v>
      </c>
      <c r="G20" s="131"/>
    </row>
    <row r="21" spans="1:7" s="11" customFormat="1" ht="29">
      <c r="A21" s="677" t="s">
        <v>1271</v>
      </c>
      <c r="B21" s="590" t="s">
        <v>1258</v>
      </c>
      <c r="C21" s="617" t="s">
        <v>33</v>
      </c>
      <c r="D21" s="606">
        <v>66</v>
      </c>
      <c r="E21" s="586"/>
      <c r="F21" s="612">
        <f t="shared" si="0"/>
        <v>0</v>
      </c>
      <c r="G21" s="131"/>
    </row>
    <row r="22" spans="1:7" s="11" customFormat="1">
      <c r="A22" s="677" t="s">
        <v>1273</v>
      </c>
      <c r="B22" s="584" t="s">
        <v>446</v>
      </c>
      <c r="C22" s="606"/>
      <c r="D22" s="606"/>
      <c r="E22" s="586"/>
      <c r="F22" s="612">
        <f t="shared" si="0"/>
        <v>0</v>
      </c>
      <c r="G22" s="131"/>
    </row>
    <row r="23" spans="1:7" s="644" customFormat="1" ht="43.5">
      <c r="A23" s="681"/>
      <c r="B23" s="649" t="s">
        <v>1053</v>
      </c>
      <c r="C23" s="648"/>
      <c r="D23" s="618"/>
      <c r="E23" s="648"/>
      <c r="F23" s="682"/>
    </row>
    <row r="24" spans="1:7" s="644" customFormat="1">
      <c r="A24" s="681"/>
      <c r="B24" s="674" t="s">
        <v>1058</v>
      </c>
      <c r="C24" s="648"/>
      <c r="D24" s="618"/>
      <c r="E24" s="648"/>
      <c r="F24" s="682"/>
    </row>
    <row r="25" spans="1:7" s="644" customFormat="1">
      <c r="A25" s="681" t="s">
        <v>1274</v>
      </c>
      <c r="B25" s="616" t="s">
        <v>1054</v>
      </c>
      <c r="C25" s="648" t="s">
        <v>19</v>
      </c>
      <c r="D25" s="618">
        <v>80</v>
      </c>
      <c r="E25" s="648"/>
      <c r="F25" s="682">
        <f>E25*G26</f>
        <v>0</v>
      </c>
    </row>
    <row r="26" spans="1:7" s="644" customFormat="1">
      <c r="A26" s="681" t="s">
        <v>1275</v>
      </c>
      <c r="B26" s="616" t="s">
        <v>1055</v>
      </c>
      <c r="C26" s="648" t="s">
        <v>19</v>
      </c>
      <c r="D26" s="618">
        <v>215</v>
      </c>
      <c r="E26" s="648"/>
      <c r="F26" s="682">
        <f>E26*D26</f>
        <v>0</v>
      </c>
      <c r="G26" s="661"/>
    </row>
    <row r="27" spans="1:7" s="644" customFormat="1">
      <c r="A27" s="681"/>
      <c r="B27" s="674" t="s">
        <v>1062</v>
      </c>
      <c r="C27" s="648"/>
      <c r="D27" s="618"/>
      <c r="E27" s="648"/>
      <c r="F27" s="682"/>
      <c r="G27" s="646"/>
    </row>
    <row r="28" spans="1:7" s="644" customFormat="1">
      <c r="A28" s="681" t="s">
        <v>1274</v>
      </c>
      <c r="B28" s="616" t="s">
        <v>1054</v>
      </c>
      <c r="C28" s="648" t="s">
        <v>879</v>
      </c>
      <c r="D28" s="618">
        <v>275</v>
      </c>
      <c r="E28" s="648"/>
      <c r="F28" s="682">
        <f t="shared" ref="F28:F32" si="1">E28*D28</f>
        <v>0</v>
      </c>
    </row>
    <row r="29" spans="1:7" s="644" customFormat="1">
      <c r="A29" s="681" t="s">
        <v>1275</v>
      </c>
      <c r="B29" s="616" t="s">
        <v>1055</v>
      </c>
      <c r="C29" s="648" t="s">
        <v>879</v>
      </c>
      <c r="D29" s="618">
        <v>250</v>
      </c>
      <c r="E29" s="648"/>
      <c r="F29" s="682">
        <f t="shared" si="1"/>
        <v>0</v>
      </c>
      <c r="G29" s="661"/>
    </row>
    <row r="30" spans="1:7" s="644" customFormat="1">
      <c r="A30" s="681"/>
      <c r="B30" s="635" t="s">
        <v>1256</v>
      </c>
      <c r="C30" s="648"/>
      <c r="D30" s="648"/>
      <c r="E30" s="648"/>
      <c r="F30" s="682"/>
      <c r="G30" s="646"/>
    </row>
    <row r="31" spans="1:7" s="644" customFormat="1">
      <c r="A31" s="681" t="s">
        <v>1276</v>
      </c>
      <c r="B31" s="616" t="s">
        <v>1054</v>
      </c>
      <c r="C31" s="648" t="s">
        <v>19</v>
      </c>
      <c r="D31" s="648">
        <v>40</v>
      </c>
      <c r="E31" s="648"/>
      <c r="F31" s="682">
        <f t="shared" si="1"/>
        <v>0</v>
      </c>
      <c r="G31" s="646"/>
    </row>
    <row r="32" spans="1:7" s="644" customFormat="1">
      <c r="A32" s="681" t="s">
        <v>1277</v>
      </c>
      <c r="B32" s="616" t="s">
        <v>1055</v>
      </c>
      <c r="C32" s="648" t="s">
        <v>19</v>
      </c>
      <c r="D32" s="648">
        <v>200</v>
      </c>
      <c r="E32" s="648"/>
      <c r="F32" s="682">
        <f t="shared" si="1"/>
        <v>0</v>
      </c>
    </row>
    <row r="33" spans="1:7" s="644" customFormat="1">
      <c r="A33" s="681"/>
      <c r="B33" s="616"/>
      <c r="C33" s="648"/>
      <c r="D33" s="648"/>
      <c r="E33" s="648"/>
      <c r="F33" s="682"/>
    </row>
    <row r="34" spans="1:7" s="644" customFormat="1">
      <c r="A34" s="681"/>
      <c r="B34" s="616"/>
      <c r="C34" s="648"/>
      <c r="D34" s="648"/>
      <c r="E34" s="648"/>
      <c r="F34" s="682"/>
    </row>
    <row r="35" spans="1:7" s="658" customFormat="1">
      <c r="A35" s="690"/>
      <c r="B35" s="635" t="s">
        <v>1323</v>
      </c>
      <c r="C35" s="639"/>
      <c r="D35" s="639"/>
      <c r="E35" s="639"/>
      <c r="F35" s="689">
        <f>SUM(F5:F34)</f>
        <v>0</v>
      </c>
    </row>
    <row r="36" spans="1:7">
      <c r="A36" s="668" t="s">
        <v>0</v>
      </c>
      <c r="B36" s="669" t="s">
        <v>1</v>
      </c>
      <c r="C36" s="592" t="s">
        <v>2</v>
      </c>
      <c r="D36" s="593" t="s">
        <v>426</v>
      </c>
      <c r="E36" s="594" t="s">
        <v>368</v>
      </c>
      <c r="F36" s="595" t="s">
        <v>472</v>
      </c>
      <c r="G36" s="186"/>
    </row>
    <row r="37" spans="1:7" s="11" customFormat="1">
      <c r="A37" s="668"/>
      <c r="B37" s="669" t="s">
        <v>1324</v>
      </c>
      <c r="C37" s="592"/>
      <c r="D37" s="593"/>
      <c r="E37" s="594"/>
      <c r="F37" s="595">
        <f>F35</f>
        <v>0</v>
      </c>
      <c r="G37" s="131"/>
    </row>
    <row r="38" spans="1:7" s="644" customFormat="1">
      <c r="A38" s="681"/>
      <c r="B38" s="635" t="s">
        <v>1259</v>
      </c>
      <c r="C38" s="648"/>
      <c r="D38" s="648"/>
      <c r="E38" s="648"/>
      <c r="F38" s="682"/>
    </row>
    <row r="39" spans="1:7" s="159" customFormat="1" ht="29">
      <c r="A39" s="681" t="s">
        <v>1278</v>
      </c>
      <c r="B39" s="616" t="s">
        <v>447</v>
      </c>
      <c r="C39" s="617" t="s">
        <v>588</v>
      </c>
      <c r="D39" s="617">
        <f>D19</f>
        <v>125</v>
      </c>
      <c r="E39" s="618"/>
      <c r="F39" s="619">
        <f>D39*E39</f>
        <v>0</v>
      </c>
    </row>
    <row r="40" spans="1:7" s="159" customFormat="1">
      <c r="A40" s="615"/>
      <c r="B40" s="635" t="s">
        <v>440</v>
      </c>
      <c r="C40" s="648"/>
      <c r="D40" s="617"/>
      <c r="E40" s="618"/>
      <c r="F40" s="619"/>
    </row>
    <row r="41" spans="1:7" s="159" customFormat="1" ht="29">
      <c r="A41" s="615"/>
      <c r="B41" s="649" t="s">
        <v>236</v>
      </c>
      <c r="C41" s="648"/>
      <c r="D41" s="617"/>
      <c r="E41" s="618"/>
      <c r="F41" s="619">
        <f>D41*E41</f>
        <v>0</v>
      </c>
    </row>
    <row r="42" spans="1:7" s="159" customFormat="1" ht="16.5">
      <c r="A42" s="615" t="s">
        <v>1279</v>
      </c>
      <c r="B42" s="616" t="s">
        <v>1256</v>
      </c>
      <c r="C42" s="617" t="s">
        <v>842</v>
      </c>
      <c r="D42" s="617">
        <v>4</v>
      </c>
      <c r="E42" s="618"/>
      <c r="F42" s="619">
        <f>D42*E42</f>
        <v>0</v>
      </c>
    </row>
    <row r="43" spans="1:7" s="159" customFormat="1" ht="16.5">
      <c r="A43" s="615" t="s">
        <v>1280</v>
      </c>
      <c r="B43" s="616" t="s">
        <v>442</v>
      </c>
      <c r="C43" s="617" t="s">
        <v>608</v>
      </c>
      <c r="D43" s="617">
        <f>D39*0.15</f>
        <v>18.75</v>
      </c>
      <c r="E43" s="618"/>
      <c r="F43" s="619">
        <f>D43*E43</f>
        <v>0</v>
      </c>
    </row>
    <row r="44" spans="1:7" s="159" customFormat="1">
      <c r="A44" s="615" t="s">
        <v>1281</v>
      </c>
      <c r="B44" s="616" t="s">
        <v>1058</v>
      </c>
      <c r="C44" s="617" t="s">
        <v>1059</v>
      </c>
      <c r="D44" s="617">
        <f>(14.5*2+8.5*4)*0.3</f>
        <v>18.899999999999999</v>
      </c>
      <c r="E44" s="618"/>
      <c r="F44" s="619">
        <f t="shared" ref="F44:F45" si="2">D44*E44</f>
        <v>0</v>
      </c>
    </row>
    <row r="45" spans="1:7" s="159" customFormat="1">
      <c r="A45" s="615" t="s">
        <v>1282</v>
      </c>
      <c r="B45" s="616" t="s">
        <v>1061</v>
      </c>
      <c r="C45" s="617" t="s">
        <v>1059</v>
      </c>
      <c r="D45" s="617">
        <v>11</v>
      </c>
      <c r="E45" s="618"/>
      <c r="F45" s="619">
        <f t="shared" si="2"/>
        <v>0</v>
      </c>
    </row>
    <row r="46" spans="1:7" s="159" customFormat="1">
      <c r="A46" s="615"/>
      <c r="B46" s="635" t="s">
        <v>1262</v>
      </c>
      <c r="C46" s="617"/>
      <c r="D46" s="617"/>
      <c r="E46" s="618"/>
      <c r="F46" s="619"/>
    </row>
    <row r="47" spans="1:7" s="159" customFormat="1" ht="16.5">
      <c r="A47" s="615" t="s">
        <v>1841</v>
      </c>
      <c r="B47" s="616" t="s">
        <v>1052</v>
      </c>
      <c r="C47" s="617" t="s">
        <v>588</v>
      </c>
      <c r="D47" s="617">
        <v>55</v>
      </c>
      <c r="E47" s="618"/>
      <c r="F47" s="619">
        <f>D47*E47</f>
        <v>0</v>
      </c>
    </row>
    <row r="48" spans="1:7" s="132" customFormat="1">
      <c r="A48" s="676"/>
      <c r="B48" s="599" t="s">
        <v>1191</v>
      </c>
      <c r="C48" s="613"/>
      <c r="D48" s="613"/>
      <c r="E48" s="602"/>
      <c r="F48" s="605">
        <f>SUM(F37:F47)</f>
        <v>0</v>
      </c>
    </row>
    <row r="49" spans="1:7" s="132" customFormat="1">
      <c r="A49" s="676"/>
      <c r="B49" s="599"/>
      <c r="C49" s="613"/>
      <c r="D49" s="613"/>
      <c r="E49" s="602"/>
      <c r="F49" s="605"/>
    </row>
    <row r="50" spans="1:7" s="131" customFormat="1">
      <c r="A50" s="670"/>
      <c r="B50" s="584" t="s">
        <v>1228</v>
      </c>
      <c r="C50" s="671"/>
      <c r="D50" s="672"/>
      <c r="E50" s="607"/>
      <c r="F50" s="587"/>
    </row>
    <row r="51" spans="1:7" s="652" customFormat="1">
      <c r="A51" s="634">
        <v>5.2</v>
      </c>
      <c r="B51" s="674" t="s">
        <v>1063</v>
      </c>
      <c r="C51" s="648"/>
      <c r="D51" s="617"/>
      <c r="E51" s="618"/>
      <c r="F51" s="683"/>
    </row>
    <row r="52" spans="1:7" s="652" customFormat="1">
      <c r="A52" s="615"/>
      <c r="B52" s="616"/>
      <c r="C52" s="648"/>
      <c r="D52" s="617"/>
      <c r="E52" s="618"/>
      <c r="F52" s="683"/>
    </row>
    <row r="53" spans="1:7" s="644" customFormat="1">
      <c r="A53" s="681"/>
      <c r="B53" s="649" t="s">
        <v>1064</v>
      </c>
      <c r="C53" s="648"/>
      <c r="D53" s="618"/>
      <c r="E53" s="648"/>
      <c r="F53" s="682"/>
    </row>
    <row r="54" spans="1:7" s="655" customFormat="1">
      <c r="A54" s="758" t="s">
        <v>1842</v>
      </c>
      <c r="B54" s="685" t="s">
        <v>1065</v>
      </c>
      <c r="C54" s="686" t="s">
        <v>425</v>
      </c>
      <c r="D54" s="617">
        <v>11</v>
      </c>
      <c r="E54" s="686"/>
      <c r="F54" s="687">
        <f>E54*D54</f>
        <v>0</v>
      </c>
    </row>
    <row r="55" spans="1:7" s="159" customFormat="1" ht="16.5">
      <c r="A55" s="758" t="s">
        <v>1843</v>
      </c>
      <c r="B55" s="616" t="s">
        <v>1251</v>
      </c>
      <c r="C55" s="617" t="s">
        <v>608</v>
      </c>
      <c r="D55" s="617">
        <f>D39*0.15</f>
        <v>18.75</v>
      </c>
      <c r="E55" s="618"/>
      <c r="F55" s="619">
        <f>D55*E55</f>
        <v>0</v>
      </c>
    </row>
    <row r="56" spans="1:7" s="644" customFormat="1" ht="17.399999999999999" customHeight="1">
      <c r="A56" s="681"/>
      <c r="B56" s="649" t="s">
        <v>771</v>
      </c>
      <c r="C56" s="648"/>
      <c r="D56" s="618"/>
      <c r="E56" s="648"/>
      <c r="F56" s="682"/>
    </row>
    <row r="57" spans="1:7" s="644" customFormat="1">
      <c r="A57" s="681"/>
      <c r="B57" s="649" t="s">
        <v>772</v>
      </c>
      <c r="C57" s="648"/>
      <c r="D57" s="618"/>
      <c r="E57" s="648"/>
      <c r="F57" s="682"/>
    </row>
    <row r="58" spans="1:7" s="644" customFormat="1">
      <c r="A58" s="681" t="s">
        <v>1844</v>
      </c>
      <c r="B58" s="616" t="s">
        <v>1066</v>
      </c>
      <c r="C58" s="648" t="s">
        <v>19</v>
      </c>
      <c r="D58" s="617">
        <v>350</v>
      </c>
      <c r="E58" s="648"/>
      <c r="F58" s="682">
        <f>E58*D58</f>
        <v>0</v>
      </c>
    </row>
    <row r="59" spans="1:7" s="644" customFormat="1">
      <c r="A59" s="681" t="s">
        <v>1845</v>
      </c>
      <c r="B59" s="616" t="s">
        <v>1067</v>
      </c>
      <c r="C59" s="648" t="s">
        <v>19</v>
      </c>
      <c r="D59" s="618">
        <v>400</v>
      </c>
      <c r="E59" s="648"/>
      <c r="F59" s="682">
        <f>E59*D59</f>
        <v>0</v>
      </c>
      <c r="G59" s="661"/>
    </row>
    <row r="60" spans="1:7" s="644" customFormat="1">
      <c r="A60" s="681"/>
      <c r="B60" s="674" t="s">
        <v>1068</v>
      </c>
      <c r="C60" s="648"/>
      <c r="D60" s="618"/>
      <c r="E60" s="648"/>
      <c r="F60" s="682"/>
    </row>
    <row r="61" spans="1:7" s="644" customFormat="1">
      <c r="A61" s="681" t="s">
        <v>1846</v>
      </c>
      <c r="B61" s="616" t="s">
        <v>1069</v>
      </c>
      <c r="C61" s="648" t="s">
        <v>33</v>
      </c>
      <c r="D61" s="617">
        <v>200</v>
      </c>
      <c r="E61" s="648"/>
      <c r="F61" s="682">
        <f>D61*E61</f>
        <v>0</v>
      </c>
    </row>
    <row r="62" spans="1:7" s="159" customFormat="1">
      <c r="A62" s="681" t="s">
        <v>1847</v>
      </c>
      <c r="B62" s="616" t="s">
        <v>1251</v>
      </c>
      <c r="C62" s="617" t="s">
        <v>33</v>
      </c>
      <c r="D62" s="617">
        <f>D19</f>
        <v>125</v>
      </c>
      <c r="E62" s="618"/>
      <c r="F62" s="619">
        <f>D62*E62</f>
        <v>0</v>
      </c>
    </row>
    <row r="63" spans="1:7" s="658" customFormat="1">
      <c r="A63" s="635"/>
      <c r="B63" s="635" t="s">
        <v>1070</v>
      </c>
      <c r="C63" s="639"/>
      <c r="D63" s="688"/>
      <c r="E63" s="639"/>
      <c r="F63" s="689">
        <f>SUM(F51:F61)</f>
        <v>0</v>
      </c>
    </row>
    <row r="64" spans="1:7" s="658" customFormat="1">
      <c r="A64" s="635"/>
      <c r="B64" s="635"/>
      <c r="C64" s="639"/>
      <c r="D64" s="688"/>
      <c r="E64" s="639"/>
      <c r="F64" s="689"/>
    </row>
    <row r="65" spans="1:198" s="644" customFormat="1">
      <c r="A65" s="690">
        <v>5.3</v>
      </c>
      <c r="B65" s="674" t="s">
        <v>1071</v>
      </c>
      <c r="C65" s="648"/>
      <c r="D65" s="618"/>
      <c r="E65" s="648"/>
      <c r="F65" s="682"/>
    </row>
    <row r="66" spans="1:198" s="644" customFormat="1">
      <c r="A66" s="681"/>
      <c r="B66" s="649" t="s">
        <v>1072</v>
      </c>
      <c r="C66" s="648"/>
      <c r="D66" s="618"/>
      <c r="E66" s="648"/>
      <c r="F66" s="682"/>
    </row>
    <row r="67" spans="1:198" s="644" customFormat="1" ht="29">
      <c r="A67" s="681"/>
      <c r="B67" s="691" t="s">
        <v>1073</v>
      </c>
      <c r="C67" s="648"/>
      <c r="D67" s="618"/>
      <c r="E67" s="648"/>
      <c r="F67" s="682"/>
    </row>
    <row r="68" spans="1:198" s="644" customFormat="1">
      <c r="A68" s="681"/>
      <c r="B68" s="649" t="s">
        <v>52</v>
      </c>
      <c r="C68" s="648"/>
      <c r="D68" s="618"/>
      <c r="E68" s="648"/>
      <c r="F68" s="682"/>
    </row>
    <row r="69" spans="1:198" s="644" customFormat="1">
      <c r="A69" s="681"/>
      <c r="B69" s="649" t="s">
        <v>53</v>
      </c>
      <c r="C69" s="648"/>
      <c r="D69" s="618"/>
      <c r="E69" s="648"/>
      <c r="F69" s="682"/>
    </row>
    <row r="70" spans="1:198" s="644" customFormat="1">
      <c r="A70" s="681"/>
      <c r="B70" s="649" t="s">
        <v>54</v>
      </c>
      <c r="C70" s="648"/>
      <c r="D70" s="618"/>
      <c r="E70" s="648"/>
      <c r="F70" s="682"/>
    </row>
    <row r="71" spans="1:198" s="644" customFormat="1">
      <c r="A71" s="681" t="s">
        <v>605</v>
      </c>
      <c r="B71" s="616" t="s">
        <v>1074</v>
      </c>
      <c r="C71" s="648" t="s">
        <v>33</v>
      </c>
      <c r="D71" s="692">
        <v>150</v>
      </c>
      <c r="E71" s="648"/>
      <c r="F71" s="682">
        <f>E71*D71</f>
        <v>0</v>
      </c>
    </row>
    <row r="72" spans="1:198" s="644" customFormat="1">
      <c r="A72" s="681" t="s">
        <v>1287</v>
      </c>
      <c r="B72" s="616" t="s">
        <v>1075</v>
      </c>
      <c r="C72" s="648" t="s">
        <v>33</v>
      </c>
      <c r="D72" s="692">
        <v>60</v>
      </c>
      <c r="E72" s="648"/>
      <c r="F72" s="682">
        <f>E72*D72</f>
        <v>0</v>
      </c>
    </row>
    <row r="73" spans="1:198" s="644" customFormat="1">
      <c r="A73" s="681" t="s">
        <v>1288</v>
      </c>
      <c r="B73" s="649" t="s">
        <v>1039</v>
      </c>
      <c r="C73" s="648"/>
      <c r="D73" s="618"/>
      <c r="E73" s="648"/>
      <c r="F73" s="682"/>
    </row>
    <row r="74" spans="1:198" s="644" customFormat="1">
      <c r="A74" s="681" t="s">
        <v>1289</v>
      </c>
      <c r="B74" s="616" t="s">
        <v>1040</v>
      </c>
      <c r="C74" s="648" t="s">
        <v>50</v>
      </c>
      <c r="D74" s="692">
        <v>70</v>
      </c>
      <c r="E74" s="648"/>
      <c r="F74" s="682">
        <f>E74*D74</f>
        <v>0</v>
      </c>
    </row>
    <row r="75" spans="1:198" s="644" customFormat="1">
      <c r="A75" s="681"/>
      <c r="B75" s="616"/>
      <c r="C75" s="648"/>
      <c r="D75" s="692"/>
      <c r="E75" s="648"/>
      <c r="F75" s="682"/>
    </row>
    <row r="76" spans="1:198" s="644" customFormat="1">
      <c r="A76" s="681"/>
      <c r="B76" s="616"/>
      <c r="C76" s="648"/>
      <c r="D76" s="692"/>
      <c r="E76" s="648"/>
      <c r="F76" s="682"/>
    </row>
    <row r="77" spans="1:198" s="644" customFormat="1" ht="29">
      <c r="A77" s="681"/>
      <c r="B77" s="635" t="s">
        <v>1076</v>
      </c>
      <c r="C77" s="639"/>
      <c r="D77" s="618"/>
      <c r="E77" s="648"/>
      <c r="F77" s="689">
        <f>SUM(F66:F74)</f>
        <v>0</v>
      </c>
    </row>
    <row r="78" spans="1:198" s="150" customFormat="1" ht="15.5">
      <c r="A78" s="693"/>
      <c r="B78" s="694"/>
      <c r="C78" s="695"/>
      <c r="D78" s="695"/>
      <c r="E78" s="696"/>
      <c r="F78" s="697"/>
      <c r="G78" s="165"/>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153"/>
      <c r="BY78" s="153"/>
      <c r="BZ78" s="153"/>
      <c r="CA78" s="153"/>
      <c r="CB78" s="153"/>
      <c r="CC78" s="153"/>
      <c r="CD78" s="153"/>
      <c r="CE78" s="153"/>
      <c r="CF78" s="153"/>
      <c r="CG78" s="153"/>
      <c r="CH78" s="153"/>
      <c r="CI78" s="153"/>
      <c r="CJ78" s="153"/>
      <c r="CK78" s="153"/>
      <c r="CL78" s="153"/>
      <c r="CM78" s="153"/>
      <c r="CN78" s="153"/>
      <c r="CO78" s="153"/>
      <c r="CP78" s="153"/>
      <c r="CQ78" s="153"/>
      <c r="CR78" s="153"/>
      <c r="CS78" s="153"/>
      <c r="CT78" s="153"/>
      <c r="CU78" s="153"/>
      <c r="CV78" s="153"/>
      <c r="CW78" s="153"/>
      <c r="CX78" s="153"/>
      <c r="CY78" s="153"/>
      <c r="CZ78" s="153"/>
      <c r="DA78" s="153"/>
      <c r="DB78" s="153"/>
      <c r="DC78" s="153"/>
      <c r="DD78" s="153"/>
      <c r="DE78" s="153"/>
      <c r="DF78" s="153"/>
      <c r="DG78" s="153"/>
      <c r="DH78" s="153"/>
      <c r="DI78" s="153"/>
      <c r="DJ78" s="153"/>
      <c r="DK78" s="153"/>
      <c r="DL78" s="153"/>
      <c r="DM78" s="153"/>
      <c r="DN78" s="153"/>
      <c r="DO78" s="153"/>
      <c r="DP78" s="153"/>
      <c r="DQ78" s="153"/>
      <c r="DR78" s="153"/>
      <c r="DS78" s="153"/>
      <c r="DT78" s="153"/>
      <c r="DU78" s="153"/>
      <c r="DV78" s="153"/>
      <c r="DW78" s="153"/>
      <c r="DX78" s="153"/>
      <c r="DY78" s="153"/>
      <c r="DZ78" s="153"/>
      <c r="EA78" s="153"/>
      <c r="EB78" s="153"/>
      <c r="EC78" s="153"/>
      <c r="ED78" s="153"/>
      <c r="EE78" s="153"/>
      <c r="EF78" s="153"/>
      <c r="EG78" s="153"/>
      <c r="EH78" s="153"/>
      <c r="EI78" s="153"/>
      <c r="EJ78" s="153"/>
      <c r="EK78" s="153"/>
      <c r="EL78" s="153"/>
      <c r="EM78" s="153"/>
      <c r="EN78" s="153"/>
      <c r="EO78" s="153"/>
      <c r="EP78" s="153"/>
      <c r="EQ78" s="153"/>
      <c r="ER78" s="153"/>
      <c r="ES78" s="153"/>
      <c r="ET78" s="153"/>
      <c r="EU78" s="153"/>
      <c r="EV78" s="153"/>
      <c r="EW78" s="153"/>
      <c r="EX78" s="153"/>
      <c r="EY78" s="153"/>
      <c r="EZ78" s="153"/>
      <c r="FA78" s="153"/>
      <c r="FB78" s="153"/>
      <c r="FC78" s="153"/>
      <c r="FD78" s="153"/>
      <c r="FE78" s="153"/>
      <c r="FF78" s="153"/>
      <c r="FG78" s="153"/>
      <c r="FH78" s="153"/>
      <c r="FI78" s="153"/>
      <c r="FJ78" s="153"/>
      <c r="FK78" s="153"/>
      <c r="FL78" s="153"/>
      <c r="FM78" s="153"/>
      <c r="FN78" s="153"/>
      <c r="FO78" s="153"/>
      <c r="FP78" s="153"/>
      <c r="FQ78" s="153"/>
      <c r="FR78" s="153"/>
      <c r="FS78" s="153"/>
      <c r="FT78" s="153"/>
      <c r="FU78" s="153"/>
      <c r="FV78" s="153"/>
      <c r="FW78" s="153"/>
      <c r="FX78" s="153"/>
      <c r="FY78" s="153"/>
      <c r="FZ78" s="153"/>
      <c r="GA78" s="153"/>
      <c r="GB78" s="153"/>
      <c r="GC78" s="153"/>
      <c r="GD78" s="153"/>
      <c r="GE78" s="153"/>
      <c r="GF78" s="153"/>
      <c r="GG78" s="153"/>
      <c r="GH78" s="153"/>
      <c r="GI78" s="153"/>
      <c r="GJ78" s="153"/>
      <c r="GK78" s="153"/>
      <c r="GL78" s="153"/>
      <c r="GM78" s="153"/>
      <c r="GN78" s="153"/>
      <c r="GO78" s="153"/>
      <c r="GP78" s="153"/>
    </row>
    <row r="79" spans="1:198">
      <c r="A79" s="668" t="s">
        <v>0</v>
      </c>
      <c r="B79" s="669" t="s">
        <v>1</v>
      </c>
      <c r="C79" s="592" t="s">
        <v>2</v>
      </c>
      <c r="D79" s="593" t="s">
        <v>426</v>
      </c>
      <c r="E79" s="594" t="s">
        <v>368</v>
      </c>
      <c r="F79" s="595" t="s">
        <v>472</v>
      </c>
      <c r="G79" s="186"/>
    </row>
    <row r="80" spans="1:198" s="152" customFormat="1" ht="15.5">
      <c r="A80" s="693">
        <v>5.4</v>
      </c>
      <c r="B80" s="698" t="s">
        <v>1162</v>
      </c>
      <c r="C80" s="699"/>
      <c r="D80" s="699"/>
      <c r="E80" s="700"/>
      <c r="F80" s="701"/>
      <c r="G80" s="164"/>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BO80" s="151"/>
      <c r="BP80" s="151"/>
      <c r="BQ80" s="151"/>
      <c r="BR80" s="151"/>
      <c r="BS80" s="151"/>
      <c r="BT80" s="151"/>
      <c r="BU80" s="151"/>
      <c r="BV80" s="151"/>
      <c r="BW80" s="151"/>
      <c r="BX80" s="151"/>
      <c r="BY80" s="151"/>
      <c r="BZ80" s="151"/>
      <c r="CA80" s="151"/>
      <c r="CB80" s="151"/>
      <c r="CC80" s="151"/>
      <c r="CD80" s="151"/>
      <c r="CE80" s="151"/>
      <c r="CF80" s="151"/>
      <c r="CG80" s="151"/>
      <c r="CH80" s="151"/>
      <c r="CI80" s="151"/>
      <c r="CJ80" s="151"/>
      <c r="CK80" s="151"/>
      <c r="CL80" s="151"/>
      <c r="CM80" s="151"/>
      <c r="CN80" s="151"/>
      <c r="CO80" s="151"/>
      <c r="CP80" s="151"/>
      <c r="CQ80" s="151"/>
      <c r="CR80" s="151"/>
      <c r="CS80" s="151"/>
      <c r="CT80" s="151"/>
      <c r="CU80" s="151"/>
      <c r="CV80" s="151"/>
      <c r="CW80" s="151"/>
      <c r="CX80" s="151"/>
      <c r="CY80" s="151"/>
      <c r="CZ80" s="151"/>
      <c r="DA80" s="151"/>
      <c r="DB80" s="151"/>
      <c r="DC80" s="151"/>
      <c r="DD80" s="151"/>
      <c r="DE80" s="151"/>
      <c r="DF80" s="151"/>
      <c r="DG80" s="151"/>
      <c r="DH80" s="151"/>
      <c r="DI80" s="151"/>
      <c r="DJ80" s="151"/>
      <c r="DK80" s="151"/>
      <c r="DL80" s="151"/>
      <c r="DM80" s="151"/>
      <c r="DN80" s="151"/>
      <c r="DO80" s="151"/>
      <c r="DP80" s="151"/>
      <c r="DQ80" s="151"/>
      <c r="DR80" s="151"/>
      <c r="DS80" s="151"/>
      <c r="DT80" s="151"/>
      <c r="DU80" s="151"/>
      <c r="DV80" s="151"/>
      <c r="DW80" s="151"/>
      <c r="DX80" s="151"/>
      <c r="DY80" s="151"/>
      <c r="DZ80" s="151"/>
      <c r="EA80" s="151"/>
      <c r="EB80" s="151"/>
      <c r="EC80" s="151"/>
      <c r="ED80" s="151"/>
      <c r="EE80" s="151"/>
      <c r="EF80" s="151"/>
      <c r="EG80" s="151"/>
      <c r="EH80" s="151"/>
      <c r="EI80" s="151"/>
      <c r="EJ80" s="151"/>
      <c r="EK80" s="151"/>
      <c r="EL80" s="151"/>
      <c r="EM80" s="151"/>
      <c r="EN80" s="151"/>
      <c r="EO80" s="151"/>
      <c r="EP80" s="151"/>
      <c r="EQ80" s="151"/>
      <c r="ER80" s="151"/>
      <c r="ES80" s="151"/>
      <c r="ET80" s="151"/>
      <c r="EU80" s="151"/>
      <c r="EV80" s="151"/>
      <c r="EW80" s="151"/>
      <c r="EX80" s="151"/>
      <c r="EY80" s="151"/>
      <c r="EZ80" s="151"/>
      <c r="FA80" s="151"/>
      <c r="FB80" s="151"/>
      <c r="FC80" s="151"/>
      <c r="FD80" s="151"/>
      <c r="FE80" s="151"/>
      <c r="FF80" s="151"/>
      <c r="FG80" s="151"/>
      <c r="FH80" s="151"/>
      <c r="FI80" s="151"/>
      <c r="FJ80" s="151"/>
      <c r="FK80" s="151"/>
      <c r="FL80" s="151"/>
      <c r="FM80" s="151"/>
      <c r="FN80" s="151"/>
      <c r="FO80" s="151"/>
      <c r="FP80" s="151"/>
      <c r="FQ80" s="151"/>
      <c r="FR80" s="151"/>
      <c r="FS80" s="151"/>
      <c r="FT80" s="151"/>
      <c r="FU80" s="151"/>
      <c r="FV80" s="151"/>
      <c r="FW80" s="151"/>
      <c r="FX80" s="151"/>
      <c r="FY80" s="151"/>
      <c r="FZ80" s="151"/>
      <c r="GA80" s="151"/>
      <c r="GB80" s="151"/>
      <c r="GC80" s="151"/>
      <c r="GD80" s="151"/>
      <c r="GE80" s="151"/>
      <c r="GF80" s="151"/>
      <c r="GG80" s="151"/>
      <c r="GH80" s="151"/>
      <c r="GI80" s="151"/>
      <c r="GJ80" s="151"/>
      <c r="GK80" s="151"/>
      <c r="GL80" s="151"/>
      <c r="GM80" s="151"/>
      <c r="GN80" s="151"/>
      <c r="GO80" s="151"/>
      <c r="GP80" s="151"/>
    </row>
    <row r="81" spans="1:198" s="154" customFormat="1" ht="29.4" customHeight="1">
      <c r="A81" s="702" t="s">
        <v>34</v>
      </c>
      <c r="B81" s="703" t="s">
        <v>496</v>
      </c>
      <c r="C81" s="704" t="s">
        <v>34</v>
      </c>
      <c r="D81" s="704"/>
      <c r="E81" s="704"/>
      <c r="F81" s="705"/>
      <c r="G81" s="166"/>
    </row>
    <row r="82" spans="1:198" s="152" customFormat="1" ht="29.4" customHeight="1">
      <c r="A82" s="706" t="s">
        <v>606</v>
      </c>
      <c r="B82" s="707" t="s">
        <v>497</v>
      </c>
      <c r="C82" s="606" t="s">
        <v>33</v>
      </c>
      <c r="D82" s="606">
        <f>D5*1.4</f>
        <v>175</v>
      </c>
      <c r="E82" s="586"/>
      <c r="F82" s="701">
        <f>D82*E82</f>
        <v>0</v>
      </c>
      <c r="G82" s="164"/>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c r="BI82" s="151"/>
      <c r="BJ82" s="151"/>
      <c r="BK82" s="151"/>
      <c r="BL82" s="151"/>
      <c r="BM82" s="151"/>
      <c r="BN82" s="151"/>
      <c r="BO82" s="151"/>
      <c r="BP82" s="151"/>
      <c r="BQ82" s="151"/>
      <c r="BR82" s="151"/>
      <c r="BS82" s="151"/>
      <c r="BT82" s="151"/>
      <c r="BU82" s="151"/>
      <c r="BV82" s="151"/>
      <c r="BW82" s="151"/>
      <c r="BX82" s="151"/>
      <c r="BY82" s="151"/>
      <c r="BZ82" s="151"/>
      <c r="CA82" s="151"/>
      <c r="CB82" s="151"/>
      <c r="CC82" s="151"/>
      <c r="CD82" s="151"/>
      <c r="CE82" s="151"/>
      <c r="CF82" s="151"/>
      <c r="CG82" s="151"/>
      <c r="CH82" s="151"/>
      <c r="CI82" s="151"/>
      <c r="CJ82" s="151"/>
      <c r="CK82" s="151"/>
      <c r="CL82" s="151"/>
      <c r="CM82" s="151"/>
      <c r="CN82" s="151"/>
      <c r="CO82" s="151"/>
      <c r="CP82" s="151"/>
      <c r="CQ82" s="151"/>
      <c r="CR82" s="151"/>
      <c r="CS82" s="151"/>
      <c r="CT82" s="151"/>
      <c r="CU82" s="151"/>
      <c r="CV82" s="151"/>
      <c r="CW82" s="151"/>
      <c r="CX82" s="151"/>
      <c r="CY82" s="151"/>
      <c r="CZ82" s="151"/>
      <c r="DA82" s="151"/>
      <c r="DB82" s="151"/>
      <c r="DC82" s="151"/>
      <c r="DD82" s="151"/>
      <c r="DE82" s="151"/>
      <c r="DF82" s="151"/>
      <c r="DG82" s="151"/>
      <c r="DH82" s="151"/>
      <c r="DI82" s="151"/>
      <c r="DJ82" s="151"/>
      <c r="DK82" s="151"/>
      <c r="DL82" s="151"/>
      <c r="DM82" s="151"/>
      <c r="DN82" s="151"/>
      <c r="DO82" s="151"/>
      <c r="DP82" s="151"/>
      <c r="DQ82" s="151"/>
      <c r="DR82" s="151"/>
      <c r="DS82" s="151"/>
      <c r="DT82" s="151"/>
      <c r="DU82" s="151"/>
      <c r="DV82" s="151"/>
      <c r="DW82" s="151"/>
      <c r="DX82" s="151"/>
      <c r="DY82" s="151"/>
      <c r="DZ82" s="151"/>
      <c r="EA82" s="151"/>
      <c r="EB82" s="151"/>
      <c r="EC82" s="151"/>
      <c r="ED82" s="151"/>
      <c r="EE82" s="151"/>
      <c r="EF82" s="151"/>
      <c r="EG82" s="151"/>
      <c r="EH82" s="151"/>
      <c r="EI82" s="151"/>
      <c r="EJ82" s="151"/>
      <c r="EK82" s="151"/>
      <c r="EL82" s="151"/>
      <c r="EM82" s="151"/>
      <c r="EN82" s="151"/>
      <c r="EO82" s="151"/>
      <c r="EP82" s="151"/>
      <c r="EQ82" s="151"/>
      <c r="ER82" s="151"/>
      <c r="ES82" s="151"/>
      <c r="ET82" s="151"/>
      <c r="EU82" s="151"/>
      <c r="EV82" s="151"/>
      <c r="EW82" s="151"/>
      <c r="EX82" s="151"/>
      <c r="EY82" s="151"/>
      <c r="EZ82" s="151"/>
      <c r="FA82" s="151"/>
      <c r="FB82" s="151"/>
      <c r="FC82" s="151"/>
      <c r="FD82" s="151"/>
      <c r="FE82" s="151"/>
      <c r="FF82" s="151"/>
      <c r="FG82" s="151"/>
      <c r="FH82" s="151"/>
      <c r="FI82" s="151"/>
      <c r="FJ82" s="151"/>
      <c r="FK82" s="151"/>
      <c r="FL82" s="151"/>
      <c r="FM82" s="151"/>
      <c r="FN82" s="151"/>
      <c r="FO82" s="151"/>
      <c r="FP82" s="151"/>
      <c r="FQ82" s="151"/>
      <c r="FR82" s="151"/>
      <c r="FS82" s="151"/>
      <c r="FT82" s="151"/>
      <c r="FU82" s="151"/>
      <c r="FV82" s="151"/>
      <c r="FW82" s="151"/>
      <c r="FX82" s="151"/>
      <c r="FY82" s="151"/>
      <c r="FZ82" s="151"/>
      <c r="GA82" s="151"/>
      <c r="GB82" s="151"/>
      <c r="GC82" s="151"/>
      <c r="GD82" s="151"/>
      <c r="GE82" s="151"/>
      <c r="GF82" s="151"/>
      <c r="GG82" s="151"/>
      <c r="GH82" s="151"/>
      <c r="GI82" s="151"/>
      <c r="GJ82" s="151"/>
      <c r="GK82" s="151"/>
      <c r="GL82" s="151"/>
      <c r="GM82" s="151"/>
      <c r="GN82" s="151"/>
      <c r="GO82" s="151"/>
      <c r="GP82" s="151"/>
    </row>
    <row r="83" spans="1:198" s="154" customFormat="1" ht="19.25" customHeight="1">
      <c r="A83" s="706" t="s">
        <v>607</v>
      </c>
      <c r="B83" s="704" t="s">
        <v>379</v>
      </c>
      <c r="C83" s="617" t="s">
        <v>50</v>
      </c>
      <c r="D83" s="617">
        <f>25*5</f>
        <v>125</v>
      </c>
      <c r="E83" s="618"/>
      <c r="F83" s="701">
        <f t="shared" ref="F83:F88" si="3">D83*E83</f>
        <v>0</v>
      </c>
      <c r="G83" s="166"/>
    </row>
    <row r="84" spans="1:198" s="154" customFormat="1" ht="19.25" customHeight="1">
      <c r="A84" s="706" t="s">
        <v>1290</v>
      </c>
      <c r="B84" s="704" t="s">
        <v>380</v>
      </c>
      <c r="C84" s="617" t="s">
        <v>50</v>
      </c>
      <c r="D84" s="617">
        <f>(13.4*8)</f>
        <v>107.2</v>
      </c>
      <c r="E84" s="618"/>
      <c r="F84" s="701">
        <f t="shared" si="3"/>
        <v>0</v>
      </c>
      <c r="G84" s="166"/>
    </row>
    <row r="85" spans="1:198" s="154" customFormat="1" ht="19.25" customHeight="1">
      <c r="A85" s="706" t="s">
        <v>1291</v>
      </c>
      <c r="B85" s="704" t="s">
        <v>381</v>
      </c>
      <c r="C85" s="648" t="s">
        <v>50</v>
      </c>
      <c r="D85" s="617">
        <v>70</v>
      </c>
      <c r="E85" s="618"/>
      <c r="F85" s="701">
        <f t="shared" si="3"/>
        <v>0</v>
      </c>
      <c r="G85" s="166"/>
    </row>
    <row r="86" spans="1:198" s="154" customFormat="1" ht="19.25" customHeight="1">
      <c r="A86" s="706" t="s">
        <v>1292</v>
      </c>
      <c r="B86" s="704" t="s">
        <v>382</v>
      </c>
      <c r="C86" s="606" t="s">
        <v>50</v>
      </c>
      <c r="D86" s="606">
        <v>50</v>
      </c>
      <c r="E86" s="586"/>
      <c r="F86" s="701">
        <f t="shared" si="3"/>
        <v>0</v>
      </c>
      <c r="G86" s="166"/>
    </row>
    <row r="87" spans="1:198" s="154" customFormat="1" ht="19.25" customHeight="1">
      <c r="A87" s="706" t="s">
        <v>1293</v>
      </c>
      <c r="B87" s="704" t="s">
        <v>383</v>
      </c>
      <c r="C87" s="606" t="s">
        <v>50</v>
      </c>
      <c r="D87" s="606">
        <v>20</v>
      </c>
      <c r="E87" s="586"/>
      <c r="F87" s="701">
        <f t="shared" si="3"/>
        <v>0</v>
      </c>
      <c r="G87" s="166"/>
    </row>
    <row r="88" spans="1:198" s="154" customFormat="1" ht="19.25" customHeight="1">
      <c r="A88" s="706" t="s">
        <v>1294</v>
      </c>
      <c r="B88" s="704" t="s">
        <v>384</v>
      </c>
      <c r="C88" s="606" t="s">
        <v>50</v>
      </c>
      <c r="D88" s="606">
        <v>6</v>
      </c>
      <c r="E88" s="586"/>
      <c r="F88" s="701">
        <f t="shared" si="3"/>
        <v>0</v>
      </c>
      <c r="G88" s="166"/>
    </row>
    <row r="89" spans="1:198" s="154" customFormat="1" ht="15.5">
      <c r="A89" s="702" t="s">
        <v>34</v>
      </c>
      <c r="B89" s="708" t="s">
        <v>388</v>
      </c>
      <c r="C89" s="704" t="s">
        <v>34</v>
      </c>
      <c r="D89" s="704" t="s">
        <v>34</v>
      </c>
      <c r="E89" s="704"/>
      <c r="F89" s="709"/>
      <c r="G89" s="166"/>
    </row>
    <row r="90" spans="1:198" s="152" customFormat="1" ht="29.4" customHeight="1">
      <c r="A90" s="706" t="s">
        <v>1295</v>
      </c>
      <c r="B90" s="707" t="s">
        <v>522</v>
      </c>
      <c r="C90" s="606" t="s">
        <v>33</v>
      </c>
      <c r="D90" s="606">
        <v>74</v>
      </c>
      <c r="E90" s="586"/>
      <c r="F90" s="612">
        <f>D90*E90</f>
        <v>0</v>
      </c>
      <c r="G90" s="164"/>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1"/>
      <c r="GK90" s="151"/>
      <c r="GL90" s="151"/>
      <c r="GM90" s="151"/>
      <c r="GN90" s="151"/>
      <c r="GO90" s="151"/>
      <c r="GP90" s="151"/>
    </row>
    <row r="91" spans="1:198" s="152" customFormat="1" ht="29.4" customHeight="1">
      <c r="A91" s="706" t="s">
        <v>1296</v>
      </c>
      <c r="B91" s="707" t="s">
        <v>495</v>
      </c>
      <c r="C91" s="617" t="s">
        <v>33</v>
      </c>
      <c r="D91" s="617">
        <f>D90</f>
        <v>74</v>
      </c>
      <c r="E91" s="618"/>
      <c r="F91" s="612">
        <f>D91*E91</f>
        <v>0</v>
      </c>
      <c r="G91" s="164"/>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c r="BX91" s="151"/>
      <c r="BY91" s="151"/>
      <c r="BZ91" s="151"/>
      <c r="CA91" s="151"/>
      <c r="CB91" s="151"/>
      <c r="CC91" s="151"/>
      <c r="CD91" s="151"/>
      <c r="CE91" s="151"/>
      <c r="CF91" s="151"/>
      <c r="CG91" s="151"/>
      <c r="CH91" s="151"/>
      <c r="CI91" s="151"/>
      <c r="CJ91" s="151"/>
      <c r="CK91" s="151"/>
      <c r="CL91" s="151"/>
      <c r="CM91" s="151"/>
      <c r="CN91" s="151"/>
      <c r="CO91" s="151"/>
      <c r="CP91" s="151"/>
      <c r="CQ91" s="151"/>
      <c r="CR91" s="151"/>
      <c r="CS91" s="151"/>
      <c r="CT91" s="151"/>
      <c r="CU91" s="151"/>
      <c r="CV91" s="151"/>
      <c r="CW91" s="151"/>
      <c r="CX91" s="151"/>
      <c r="CY91" s="151"/>
      <c r="CZ91" s="151"/>
      <c r="DA91" s="151"/>
      <c r="DB91" s="151"/>
      <c r="DC91" s="151"/>
      <c r="DD91" s="151"/>
      <c r="DE91" s="151"/>
      <c r="DF91" s="151"/>
      <c r="DG91" s="151"/>
      <c r="DH91" s="151"/>
      <c r="DI91" s="151"/>
      <c r="DJ91" s="151"/>
      <c r="DK91" s="151"/>
      <c r="DL91" s="151"/>
      <c r="DM91" s="151"/>
      <c r="DN91" s="151"/>
      <c r="DO91" s="151"/>
      <c r="DP91" s="151"/>
      <c r="DQ91" s="151"/>
      <c r="DR91" s="151"/>
      <c r="DS91" s="151"/>
      <c r="DT91" s="151"/>
      <c r="DU91" s="151"/>
      <c r="DV91" s="151"/>
      <c r="DW91" s="151"/>
      <c r="DX91" s="151"/>
      <c r="DY91" s="151"/>
      <c r="DZ91" s="151"/>
      <c r="EA91" s="151"/>
      <c r="EB91" s="151"/>
      <c r="EC91" s="151"/>
      <c r="ED91" s="151"/>
      <c r="EE91" s="151"/>
      <c r="EF91" s="151"/>
      <c r="EG91" s="151"/>
      <c r="EH91" s="151"/>
      <c r="EI91" s="151"/>
      <c r="EJ91" s="151"/>
      <c r="EK91" s="151"/>
      <c r="EL91" s="151"/>
      <c r="EM91" s="151"/>
      <c r="EN91" s="151"/>
      <c r="EO91" s="151"/>
      <c r="EP91" s="151"/>
      <c r="EQ91" s="151"/>
      <c r="ER91" s="151"/>
      <c r="ES91" s="151"/>
      <c r="ET91" s="151"/>
      <c r="EU91" s="151"/>
      <c r="EV91" s="151"/>
      <c r="EW91" s="151"/>
      <c r="EX91" s="151"/>
      <c r="EY91" s="151"/>
      <c r="EZ91" s="151"/>
      <c r="FA91" s="151"/>
      <c r="FB91" s="151"/>
      <c r="FC91" s="151"/>
      <c r="FD91" s="151"/>
      <c r="FE91" s="151"/>
      <c r="FF91" s="151"/>
      <c r="FG91" s="151"/>
      <c r="FH91" s="151"/>
      <c r="FI91" s="151"/>
      <c r="FJ91" s="151"/>
      <c r="FK91" s="151"/>
      <c r="FL91" s="151"/>
      <c r="FM91" s="151"/>
      <c r="FN91" s="151"/>
      <c r="FO91" s="151"/>
      <c r="FP91" s="151"/>
      <c r="FQ91" s="151"/>
      <c r="FR91" s="151"/>
      <c r="FS91" s="151"/>
      <c r="FT91" s="151"/>
      <c r="FU91" s="151"/>
      <c r="FV91" s="151"/>
      <c r="FW91" s="151"/>
      <c r="FX91" s="151"/>
      <c r="FY91" s="151"/>
      <c r="FZ91" s="151"/>
      <c r="GA91" s="151"/>
      <c r="GB91" s="151"/>
      <c r="GC91" s="151"/>
      <c r="GD91" s="151"/>
      <c r="GE91" s="151"/>
      <c r="GF91" s="151"/>
      <c r="GG91" s="151"/>
      <c r="GH91" s="151"/>
      <c r="GI91" s="151"/>
      <c r="GJ91" s="151"/>
      <c r="GK91" s="151"/>
      <c r="GL91" s="151"/>
      <c r="GM91" s="151"/>
      <c r="GN91" s="151"/>
      <c r="GO91" s="151"/>
      <c r="GP91" s="151"/>
    </row>
    <row r="92" spans="1:198" s="154" customFormat="1" ht="15.5">
      <c r="A92" s="706" t="s">
        <v>1297</v>
      </c>
      <c r="B92" s="704" t="s">
        <v>391</v>
      </c>
      <c r="C92" s="617" t="s">
        <v>50</v>
      </c>
      <c r="D92" s="617">
        <v>43</v>
      </c>
      <c r="E92" s="618"/>
      <c r="F92" s="612">
        <f t="shared" ref="F92:F121" si="4">E92*D92</f>
        <v>0</v>
      </c>
      <c r="G92" s="166"/>
    </row>
    <row r="93" spans="1:198" s="154" customFormat="1" ht="15.5">
      <c r="A93" s="706" t="s">
        <v>1298</v>
      </c>
      <c r="B93" s="708" t="s">
        <v>395</v>
      </c>
      <c r="C93" s="648" t="s">
        <v>34</v>
      </c>
      <c r="D93" s="617" t="s">
        <v>34</v>
      </c>
      <c r="E93" s="618"/>
      <c r="F93" s="612"/>
      <c r="G93" s="166"/>
    </row>
    <row r="94" spans="1:198" s="154" customFormat="1" ht="29.4" customHeight="1">
      <c r="A94" s="706" t="s">
        <v>1299</v>
      </c>
      <c r="B94" s="704" t="s">
        <v>396</v>
      </c>
      <c r="C94" s="606" t="s">
        <v>50</v>
      </c>
      <c r="D94" s="606">
        <f>D92</f>
        <v>43</v>
      </c>
      <c r="E94" s="586"/>
      <c r="F94" s="612">
        <f t="shared" si="4"/>
        <v>0</v>
      </c>
      <c r="G94" s="166"/>
    </row>
    <row r="95" spans="1:198" s="154" customFormat="1" ht="15.5">
      <c r="A95" s="702" t="s">
        <v>34</v>
      </c>
      <c r="B95" s="708" t="s">
        <v>498</v>
      </c>
      <c r="C95" s="606" t="s">
        <v>34</v>
      </c>
      <c r="D95" s="606" t="s">
        <v>34</v>
      </c>
      <c r="E95" s="586"/>
      <c r="F95" s="612"/>
      <c r="G95" s="166"/>
    </row>
    <row r="96" spans="1:198" s="154" customFormat="1" ht="29.4" customHeight="1">
      <c r="A96" s="702" t="s">
        <v>1296</v>
      </c>
      <c r="B96" s="704" t="s">
        <v>398</v>
      </c>
      <c r="C96" s="606" t="s">
        <v>50</v>
      </c>
      <c r="D96" s="606">
        <v>12</v>
      </c>
      <c r="E96" s="586"/>
      <c r="F96" s="612">
        <f t="shared" si="4"/>
        <v>0</v>
      </c>
      <c r="G96" s="166"/>
    </row>
    <row r="97" spans="1:198" s="154" customFormat="1" ht="19.25" customHeight="1">
      <c r="A97" s="702" t="s">
        <v>1297</v>
      </c>
      <c r="B97" s="704" t="s">
        <v>399</v>
      </c>
      <c r="C97" s="606" t="s">
        <v>387</v>
      </c>
      <c r="D97" s="606">
        <v>4</v>
      </c>
      <c r="E97" s="586"/>
      <c r="F97" s="612">
        <f t="shared" si="4"/>
        <v>0</v>
      </c>
      <c r="G97" s="166"/>
    </row>
    <row r="98" spans="1:198" s="154" customFormat="1" ht="18.649999999999999" customHeight="1">
      <c r="A98" s="702" t="s">
        <v>1298</v>
      </c>
      <c r="B98" s="704" t="s">
        <v>400</v>
      </c>
      <c r="C98" s="617" t="s">
        <v>387</v>
      </c>
      <c r="D98" s="617">
        <f>D97</f>
        <v>4</v>
      </c>
      <c r="E98" s="618"/>
      <c r="F98" s="612">
        <f t="shared" si="4"/>
        <v>0</v>
      </c>
      <c r="G98" s="166"/>
    </row>
    <row r="99" spans="1:198" s="154" customFormat="1" ht="19.25" customHeight="1">
      <c r="A99" s="702" t="s">
        <v>1299</v>
      </c>
      <c r="B99" s="704" t="s">
        <v>401</v>
      </c>
      <c r="C99" s="617" t="s">
        <v>34</v>
      </c>
      <c r="D99" s="617" t="s">
        <v>34</v>
      </c>
      <c r="E99" s="618"/>
      <c r="F99" s="612"/>
      <c r="G99" s="166"/>
    </row>
    <row r="100" spans="1:198" s="154" customFormat="1" ht="15.5">
      <c r="A100" s="702" t="s">
        <v>1300</v>
      </c>
      <c r="B100" s="704" t="s">
        <v>403</v>
      </c>
      <c r="C100" s="648" t="s">
        <v>50</v>
      </c>
      <c r="D100" s="617">
        <f>D94</f>
        <v>43</v>
      </c>
      <c r="E100" s="618"/>
      <c r="F100" s="612">
        <f t="shared" si="4"/>
        <v>0</v>
      </c>
      <c r="G100" s="166"/>
    </row>
    <row r="101" spans="1:198" s="154" customFormat="1" ht="19.25" customHeight="1">
      <c r="A101" s="702" t="s">
        <v>1301</v>
      </c>
      <c r="B101" s="704" t="s">
        <v>404</v>
      </c>
      <c r="C101" s="606" t="s">
        <v>50</v>
      </c>
      <c r="D101" s="606">
        <f>D100</f>
        <v>43</v>
      </c>
      <c r="E101" s="586"/>
      <c r="F101" s="612">
        <f t="shared" si="4"/>
        <v>0</v>
      </c>
      <c r="G101" s="166"/>
    </row>
    <row r="102" spans="1:198" s="155" customFormat="1" ht="19.25" customHeight="1">
      <c r="A102" s="710"/>
      <c r="B102" s="703" t="s">
        <v>1160</v>
      </c>
      <c r="C102" s="613"/>
      <c r="D102" s="613"/>
      <c r="E102" s="602"/>
      <c r="F102" s="605">
        <f>SUM(F82:F101)</f>
        <v>0</v>
      </c>
      <c r="G102" s="167"/>
    </row>
    <row r="103" spans="1:198" s="154" customFormat="1" ht="15.5">
      <c r="A103" s="711"/>
      <c r="B103" s="708"/>
      <c r="C103" s="606"/>
      <c r="D103" s="606"/>
      <c r="E103" s="586"/>
      <c r="F103" s="612">
        <f t="shared" si="4"/>
        <v>0</v>
      </c>
      <c r="G103" s="166"/>
    </row>
    <row r="104" spans="1:198" s="152" customFormat="1" ht="15.5">
      <c r="A104" s="712">
        <v>5.5</v>
      </c>
      <c r="B104" s="698" t="s">
        <v>1168</v>
      </c>
      <c r="C104" s="606"/>
      <c r="D104" s="606"/>
      <c r="E104" s="586"/>
      <c r="F104" s="612">
        <f t="shared" si="4"/>
        <v>0</v>
      </c>
      <c r="G104" s="164"/>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c r="BI104" s="151"/>
      <c r="BJ104" s="151"/>
      <c r="BK104" s="151"/>
      <c r="BL104" s="151"/>
      <c r="BM104" s="151"/>
      <c r="BN104" s="151"/>
      <c r="BO104" s="151"/>
      <c r="BP104" s="151"/>
      <c r="BQ104" s="151"/>
      <c r="BR104" s="151"/>
      <c r="BS104" s="151"/>
      <c r="BT104" s="151"/>
      <c r="BU104" s="151"/>
      <c r="BV104" s="151"/>
      <c r="BW104" s="151"/>
      <c r="BX104" s="151"/>
      <c r="BY104" s="151"/>
      <c r="BZ104" s="151"/>
      <c r="CA104" s="151"/>
      <c r="CB104" s="151"/>
      <c r="CC104" s="151"/>
      <c r="CD104" s="151"/>
      <c r="CE104" s="151"/>
      <c r="CF104" s="151"/>
      <c r="CG104" s="151"/>
      <c r="CH104" s="151"/>
      <c r="CI104" s="151"/>
      <c r="CJ104" s="151"/>
      <c r="CK104" s="151"/>
      <c r="CL104" s="151"/>
      <c r="CM104" s="151"/>
      <c r="CN104" s="151"/>
      <c r="CO104" s="151"/>
      <c r="CP104" s="151"/>
      <c r="CQ104" s="151"/>
      <c r="CR104" s="151"/>
      <c r="CS104" s="151"/>
      <c r="CT104" s="151"/>
      <c r="CU104" s="151"/>
      <c r="CV104" s="151"/>
      <c r="CW104" s="151"/>
      <c r="CX104" s="151"/>
      <c r="CY104" s="151"/>
      <c r="CZ104" s="151"/>
      <c r="DA104" s="151"/>
      <c r="DB104" s="151"/>
      <c r="DC104" s="151"/>
      <c r="DD104" s="151"/>
      <c r="DE104" s="151"/>
      <c r="DF104" s="151"/>
      <c r="DG104" s="151"/>
      <c r="DH104" s="151"/>
      <c r="DI104" s="151"/>
      <c r="DJ104" s="151"/>
      <c r="DK104" s="151"/>
      <c r="DL104" s="151"/>
      <c r="DM104" s="151"/>
      <c r="DN104" s="151"/>
      <c r="DO104" s="151"/>
      <c r="DP104" s="151"/>
      <c r="DQ104" s="151"/>
      <c r="DR104" s="151"/>
      <c r="DS104" s="151"/>
      <c r="DT104" s="151"/>
      <c r="DU104" s="151"/>
      <c r="DV104" s="151"/>
      <c r="DW104" s="151"/>
      <c r="DX104" s="151"/>
      <c r="DY104" s="151"/>
      <c r="DZ104" s="151"/>
      <c r="EA104" s="151"/>
      <c r="EB104" s="151"/>
      <c r="EC104" s="151"/>
      <c r="ED104" s="151"/>
      <c r="EE104" s="151"/>
      <c r="EF104" s="151"/>
      <c r="EG104" s="151"/>
      <c r="EH104" s="151"/>
      <c r="EI104" s="151"/>
      <c r="EJ104" s="151"/>
      <c r="EK104" s="151"/>
      <c r="EL104" s="151"/>
      <c r="EM104" s="151"/>
      <c r="EN104" s="151"/>
      <c r="EO104" s="151"/>
      <c r="EP104" s="151"/>
      <c r="EQ104" s="151"/>
      <c r="ER104" s="151"/>
      <c r="ES104" s="151"/>
      <c r="ET104" s="151"/>
      <c r="EU104" s="151"/>
      <c r="EV104" s="151"/>
      <c r="EW104" s="151"/>
      <c r="EX104" s="151"/>
      <c r="EY104" s="151"/>
      <c r="EZ104" s="151"/>
      <c r="FA104" s="151"/>
      <c r="FB104" s="151"/>
      <c r="FC104" s="151"/>
      <c r="FD104" s="151"/>
      <c r="FE104" s="151"/>
      <c r="FF104" s="151"/>
      <c r="FG104" s="151"/>
      <c r="FH104" s="151"/>
      <c r="FI104" s="151"/>
      <c r="FJ104" s="151"/>
      <c r="FK104" s="151"/>
      <c r="FL104" s="151"/>
      <c r="FM104" s="151"/>
      <c r="FN104" s="151"/>
      <c r="FO104" s="151"/>
      <c r="FP104" s="151"/>
      <c r="FQ104" s="151"/>
      <c r="FR104" s="151"/>
      <c r="FS104" s="151"/>
      <c r="FT104" s="151"/>
      <c r="FU104" s="151"/>
      <c r="FV104" s="151"/>
      <c r="FW104" s="151"/>
      <c r="FX104" s="151"/>
      <c r="FY104" s="151"/>
      <c r="FZ104" s="151"/>
      <c r="GA104" s="151"/>
      <c r="GB104" s="151"/>
      <c r="GC104" s="151"/>
      <c r="GD104" s="151"/>
      <c r="GE104" s="151"/>
      <c r="GF104" s="151"/>
      <c r="GG104" s="151"/>
      <c r="GH104" s="151"/>
      <c r="GI104" s="151"/>
      <c r="GJ104" s="151"/>
      <c r="GK104" s="151"/>
      <c r="GL104" s="151"/>
      <c r="GM104" s="151"/>
      <c r="GN104" s="151"/>
      <c r="GO104" s="151"/>
      <c r="GP104" s="151"/>
    </row>
    <row r="105" spans="1:198" s="154" customFormat="1" ht="29.4" customHeight="1">
      <c r="A105" s="713" t="s">
        <v>1283</v>
      </c>
      <c r="B105" s="704" t="s">
        <v>499</v>
      </c>
      <c r="C105" s="606" t="s">
        <v>387</v>
      </c>
      <c r="D105" s="606">
        <v>3</v>
      </c>
      <c r="E105" s="586"/>
      <c r="F105" s="612">
        <f t="shared" si="4"/>
        <v>0</v>
      </c>
      <c r="G105" s="166"/>
    </row>
    <row r="106" spans="1:198" s="154" customFormat="1" ht="29.4" customHeight="1">
      <c r="A106" s="713" t="s">
        <v>1284</v>
      </c>
      <c r="B106" s="704" t="s">
        <v>500</v>
      </c>
      <c r="C106" s="617" t="s">
        <v>50</v>
      </c>
      <c r="D106" s="617">
        <v>15</v>
      </c>
      <c r="E106" s="618"/>
      <c r="F106" s="612">
        <f t="shared" si="4"/>
        <v>0</v>
      </c>
      <c r="G106" s="166"/>
    </row>
    <row r="107" spans="1:198" s="154" customFormat="1" ht="15.5">
      <c r="A107" s="713" t="s">
        <v>1285</v>
      </c>
      <c r="B107" s="704" t="s">
        <v>501</v>
      </c>
      <c r="C107" s="617" t="s">
        <v>50</v>
      </c>
      <c r="D107" s="617">
        <f>D106*2</f>
        <v>30</v>
      </c>
      <c r="E107" s="618"/>
      <c r="F107" s="612">
        <f t="shared" si="4"/>
        <v>0</v>
      </c>
      <c r="G107" s="166"/>
    </row>
    <row r="108" spans="1:198" s="154" customFormat="1" ht="15.5">
      <c r="A108" s="713" t="s">
        <v>1286</v>
      </c>
      <c r="B108" s="704" t="s">
        <v>502</v>
      </c>
      <c r="C108" s="648" t="s">
        <v>50</v>
      </c>
      <c r="D108" s="617">
        <f>D107</f>
        <v>30</v>
      </c>
      <c r="E108" s="618"/>
      <c r="F108" s="612">
        <f t="shared" si="4"/>
        <v>0</v>
      </c>
      <c r="G108" s="166"/>
    </row>
    <row r="109" spans="1:198" s="154" customFormat="1" ht="15.5">
      <c r="A109" s="713" t="s">
        <v>34</v>
      </c>
      <c r="B109" s="708" t="s">
        <v>503</v>
      </c>
      <c r="C109" s="606" t="s">
        <v>34</v>
      </c>
      <c r="D109" s="606" t="s">
        <v>34</v>
      </c>
      <c r="E109" s="586"/>
      <c r="F109" s="612"/>
      <c r="G109" s="166"/>
    </row>
    <row r="110" spans="1:198" s="154" customFormat="1" ht="29.4" customHeight="1">
      <c r="A110" s="713" t="s">
        <v>1302</v>
      </c>
      <c r="B110" s="704" t="s">
        <v>504</v>
      </c>
      <c r="C110" s="606" t="s">
        <v>34</v>
      </c>
      <c r="D110" s="606" t="s">
        <v>34</v>
      </c>
      <c r="E110" s="586"/>
      <c r="F110" s="612"/>
      <c r="G110" s="166"/>
    </row>
    <row r="111" spans="1:198" s="155" customFormat="1" ht="15.5">
      <c r="A111" s="714"/>
      <c r="B111" s="703" t="s">
        <v>1325</v>
      </c>
      <c r="C111" s="613"/>
      <c r="D111" s="613"/>
      <c r="E111" s="602"/>
      <c r="F111" s="605">
        <f>SUM(F103:F110)</f>
        <v>0</v>
      </c>
      <c r="G111" s="167"/>
    </row>
    <row r="112" spans="1:198">
      <c r="A112" s="668" t="s">
        <v>0</v>
      </c>
      <c r="B112" s="669" t="s">
        <v>1</v>
      </c>
      <c r="C112" s="592" t="s">
        <v>2</v>
      </c>
      <c r="D112" s="593" t="s">
        <v>426</v>
      </c>
      <c r="E112" s="594" t="s">
        <v>368</v>
      </c>
      <c r="F112" s="595" t="s">
        <v>472</v>
      </c>
      <c r="G112" s="186"/>
    </row>
    <row r="113" spans="1:198" s="11" customFormat="1">
      <c r="A113" s="668"/>
      <c r="B113" s="669" t="s">
        <v>1326</v>
      </c>
      <c r="C113" s="592"/>
      <c r="D113" s="593"/>
      <c r="E113" s="594"/>
      <c r="F113" s="595">
        <f>F111</f>
        <v>0</v>
      </c>
      <c r="G113" s="131"/>
    </row>
    <row r="114" spans="1:198" s="154" customFormat="1" ht="15.5">
      <c r="A114" s="713" t="s">
        <v>1303</v>
      </c>
      <c r="B114" s="704" t="s">
        <v>505</v>
      </c>
      <c r="C114" s="606" t="s">
        <v>387</v>
      </c>
      <c r="D114" s="606">
        <f>D105</f>
        <v>3</v>
      </c>
      <c r="E114" s="586"/>
      <c r="F114" s="612">
        <f t="shared" si="4"/>
        <v>0</v>
      </c>
      <c r="G114" s="166"/>
    </row>
    <row r="115" spans="1:198" s="154" customFormat="1" ht="15.5">
      <c r="A115" s="713" t="s">
        <v>1304</v>
      </c>
      <c r="B115" s="704" t="s">
        <v>506</v>
      </c>
      <c r="C115" s="606" t="s">
        <v>507</v>
      </c>
      <c r="D115" s="606">
        <f>CEILING(D105*3/2,1)</f>
        <v>5</v>
      </c>
      <c r="E115" s="586"/>
      <c r="F115" s="612">
        <f t="shared" si="4"/>
        <v>0</v>
      </c>
      <c r="G115" s="166"/>
    </row>
    <row r="116" spans="1:198" s="154" customFormat="1" ht="15.5">
      <c r="A116" s="713" t="s">
        <v>1305</v>
      </c>
      <c r="B116" s="704" t="s">
        <v>508</v>
      </c>
      <c r="C116" s="617" t="s">
        <v>387</v>
      </c>
      <c r="D116" s="617">
        <f>D105</f>
        <v>3</v>
      </c>
      <c r="E116" s="618"/>
      <c r="F116" s="612">
        <f t="shared" si="4"/>
        <v>0</v>
      </c>
      <c r="G116" s="166"/>
    </row>
    <row r="117" spans="1:198" s="154" customFormat="1" ht="15.5">
      <c r="A117" s="713" t="s">
        <v>34</v>
      </c>
      <c r="B117" s="708" t="s">
        <v>509</v>
      </c>
      <c r="C117" s="617" t="s">
        <v>34</v>
      </c>
      <c r="D117" s="617" t="s">
        <v>34</v>
      </c>
      <c r="E117" s="618"/>
      <c r="F117" s="612"/>
      <c r="G117" s="166"/>
    </row>
    <row r="118" spans="1:198" s="154" customFormat="1" ht="29.4" customHeight="1">
      <c r="A118" s="713" t="s">
        <v>1306</v>
      </c>
      <c r="B118" s="704" t="s">
        <v>510</v>
      </c>
      <c r="C118" s="648" t="s">
        <v>146</v>
      </c>
      <c r="D118" s="617" t="s">
        <v>439</v>
      </c>
      <c r="E118" s="618"/>
      <c r="F118" s="612">
        <f>E118</f>
        <v>0</v>
      </c>
      <c r="G118" s="166"/>
    </row>
    <row r="119" spans="1:198" s="155" customFormat="1" ht="15.5">
      <c r="A119" s="714"/>
      <c r="B119" s="703" t="s">
        <v>1161</v>
      </c>
      <c r="C119" s="639"/>
      <c r="D119" s="715"/>
      <c r="E119" s="688"/>
      <c r="F119" s="605">
        <f>SUM(F113:F118)</f>
        <v>0</v>
      </c>
      <c r="G119" s="167"/>
    </row>
    <row r="120" spans="1:198" s="150" customFormat="1" ht="15.5">
      <c r="A120" s="693">
        <v>5.6</v>
      </c>
      <c r="B120" s="698" t="s">
        <v>1177</v>
      </c>
      <c r="C120" s="606"/>
      <c r="D120" s="606"/>
      <c r="E120" s="586"/>
      <c r="F120" s="612"/>
      <c r="G120" s="165"/>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153"/>
      <c r="BY120" s="153"/>
      <c r="BZ120" s="153"/>
      <c r="CA120" s="153"/>
      <c r="CB120" s="153"/>
      <c r="CC120" s="153"/>
      <c r="CD120" s="153"/>
      <c r="CE120" s="153"/>
      <c r="CF120" s="153"/>
      <c r="CG120" s="153"/>
      <c r="CH120" s="153"/>
      <c r="CI120" s="153"/>
      <c r="CJ120" s="153"/>
      <c r="CK120" s="153"/>
      <c r="CL120" s="153"/>
      <c r="CM120" s="153"/>
      <c r="CN120" s="153"/>
      <c r="CO120" s="153"/>
      <c r="CP120" s="153"/>
      <c r="CQ120" s="153"/>
      <c r="CR120" s="153"/>
      <c r="CS120" s="153"/>
      <c r="CT120" s="153"/>
      <c r="CU120" s="153"/>
      <c r="CV120" s="153"/>
      <c r="CW120" s="153"/>
      <c r="CX120" s="153"/>
      <c r="CY120" s="153"/>
      <c r="CZ120" s="153"/>
      <c r="DA120" s="153"/>
      <c r="DB120" s="153"/>
      <c r="DC120" s="153"/>
      <c r="DD120" s="153"/>
      <c r="DE120" s="153"/>
      <c r="DF120" s="153"/>
      <c r="DG120" s="153"/>
      <c r="DH120" s="153"/>
      <c r="DI120" s="153"/>
      <c r="DJ120" s="153"/>
      <c r="DK120" s="153"/>
      <c r="DL120" s="153"/>
      <c r="DM120" s="153"/>
      <c r="DN120" s="153"/>
      <c r="DO120" s="153"/>
      <c r="DP120" s="153"/>
      <c r="DQ120" s="153"/>
      <c r="DR120" s="153"/>
      <c r="DS120" s="153"/>
      <c r="DT120" s="153"/>
      <c r="DU120" s="153"/>
      <c r="DV120" s="153"/>
      <c r="DW120" s="153"/>
      <c r="DX120" s="153"/>
      <c r="DY120" s="153"/>
      <c r="DZ120" s="153"/>
      <c r="EA120" s="153"/>
      <c r="EB120" s="153"/>
      <c r="EC120" s="153"/>
      <c r="ED120" s="153"/>
      <c r="EE120" s="153"/>
      <c r="EF120" s="153"/>
      <c r="EG120" s="153"/>
      <c r="EH120" s="153"/>
      <c r="EI120" s="153"/>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c r="FL120" s="153"/>
      <c r="FM120" s="153"/>
      <c r="FN120" s="153"/>
      <c r="FO120" s="153"/>
      <c r="FP120" s="153"/>
      <c r="FQ120" s="153"/>
      <c r="FR120" s="153"/>
      <c r="FS120" s="153"/>
      <c r="FT120" s="153"/>
      <c r="FU120" s="153"/>
      <c r="FV120" s="153"/>
      <c r="FW120" s="153"/>
      <c r="FX120" s="153"/>
      <c r="FY120" s="153"/>
      <c r="FZ120" s="153"/>
      <c r="GA120" s="153"/>
      <c r="GB120" s="153"/>
      <c r="GC120" s="153"/>
      <c r="GD120" s="153"/>
      <c r="GE120" s="153"/>
      <c r="GF120" s="153"/>
      <c r="GG120" s="153"/>
      <c r="GH120" s="153"/>
      <c r="GI120" s="153"/>
      <c r="GJ120" s="153"/>
      <c r="GK120" s="153"/>
      <c r="GL120" s="153"/>
      <c r="GM120" s="153"/>
      <c r="GN120" s="153"/>
      <c r="GO120" s="153"/>
      <c r="GP120" s="153"/>
    </row>
    <row r="121" spans="1:198" s="152" customFormat="1" ht="33.65" customHeight="1">
      <c r="A121" s="706" t="s">
        <v>1307</v>
      </c>
      <c r="B121" s="707" t="s">
        <v>511</v>
      </c>
      <c r="C121" s="606" t="s">
        <v>12</v>
      </c>
      <c r="D121" s="606">
        <v>8</v>
      </c>
      <c r="E121" s="586"/>
      <c r="F121" s="612">
        <f t="shared" si="4"/>
        <v>0</v>
      </c>
      <c r="G121" s="164"/>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c r="BI121" s="151"/>
      <c r="BJ121" s="151"/>
      <c r="BK121" s="151"/>
      <c r="BL121" s="151"/>
      <c r="BM121" s="151"/>
      <c r="BN121" s="151"/>
      <c r="BO121" s="151"/>
      <c r="BP121" s="151"/>
      <c r="BQ121" s="151"/>
      <c r="BR121" s="151"/>
      <c r="BS121" s="151"/>
      <c r="BT121" s="151"/>
      <c r="BU121" s="151"/>
      <c r="BV121" s="151"/>
      <c r="BW121" s="151"/>
      <c r="BX121" s="151"/>
      <c r="BY121" s="151"/>
      <c r="BZ121" s="151"/>
      <c r="CA121" s="151"/>
      <c r="CB121" s="151"/>
      <c r="CC121" s="151"/>
      <c r="CD121" s="151"/>
      <c r="CE121" s="151"/>
      <c r="CF121" s="151"/>
      <c r="CG121" s="151"/>
      <c r="CH121" s="151"/>
      <c r="CI121" s="151"/>
      <c r="CJ121" s="151"/>
      <c r="CK121" s="151"/>
      <c r="CL121" s="151"/>
      <c r="CM121" s="151"/>
      <c r="CN121" s="151"/>
      <c r="CO121" s="151"/>
      <c r="CP121" s="151"/>
      <c r="CQ121" s="151"/>
      <c r="CR121" s="151"/>
      <c r="CS121" s="151"/>
      <c r="CT121" s="151"/>
      <c r="CU121" s="151"/>
      <c r="CV121" s="151"/>
      <c r="CW121" s="151"/>
      <c r="CX121" s="151"/>
      <c r="CY121" s="151"/>
      <c r="CZ121" s="151"/>
      <c r="DA121" s="151"/>
      <c r="DB121" s="151"/>
      <c r="DC121" s="151"/>
      <c r="DD121" s="151"/>
      <c r="DE121" s="151"/>
      <c r="DF121" s="151"/>
      <c r="DG121" s="151"/>
      <c r="DH121" s="151"/>
      <c r="DI121" s="151"/>
      <c r="DJ121" s="151"/>
      <c r="DK121" s="151"/>
      <c r="DL121" s="151"/>
      <c r="DM121" s="151"/>
      <c r="DN121" s="151"/>
      <c r="DO121" s="151"/>
      <c r="DP121" s="151"/>
      <c r="DQ121" s="151"/>
      <c r="DR121" s="151"/>
      <c r="DS121" s="151"/>
      <c r="DT121" s="151"/>
      <c r="DU121" s="151"/>
      <c r="DV121" s="151"/>
      <c r="DW121" s="151"/>
      <c r="DX121" s="151"/>
      <c r="DY121" s="151"/>
      <c r="DZ121" s="151"/>
      <c r="EA121" s="151"/>
      <c r="EB121" s="151"/>
      <c r="EC121" s="151"/>
      <c r="ED121" s="151"/>
      <c r="EE121" s="151"/>
      <c r="EF121" s="151"/>
      <c r="EG121" s="151"/>
      <c r="EH121" s="151"/>
      <c r="EI121" s="151"/>
      <c r="EJ121" s="151"/>
      <c r="EK121" s="151"/>
      <c r="EL121" s="151"/>
      <c r="EM121" s="151"/>
      <c r="EN121" s="151"/>
      <c r="EO121" s="151"/>
      <c r="EP121" s="151"/>
      <c r="EQ121" s="151"/>
      <c r="ER121" s="151"/>
      <c r="ES121" s="151"/>
      <c r="ET121" s="151"/>
      <c r="EU121" s="151"/>
      <c r="EV121" s="151"/>
      <c r="EW121" s="151"/>
      <c r="EX121" s="151"/>
      <c r="EY121" s="151"/>
      <c r="EZ121" s="151"/>
      <c r="FA121" s="151"/>
      <c r="FB121" s="151"/>
      <c r="FC121" s="151"/>
      <c r="FD121" s="151"/>
      <c r="FE121" s="151"/>
      <c r="FF121" s="151"/>
      <c r="FG121" s="151"/>
      <c r="FH121" s="151"/>
      <c r="FI121" s="151"/>
      <c r="FJ121" s="151"/>
      <c r="FK121" s="151"/>
      <c r="FL121" s="151"/>
      <c r="FM121" s="151"/>
      <c r="FN121" s="151"/>
      <c r="FO121" s="151"/>
      <c r="FP121" s="151"/>
      <c r="FQ121" s="151"/>
      <c r="FR121" s="151"/>
      <c r="FS121" s="151"/>
      <c r="FT121" s="151"/>
      <c r="FU121" s="151"/>
      <c r="FV121" s="151"/>
      <c r="FW121" s="151"/>
      <c r="FX121" s="151"/>
      <c r="FY121" s="151"/>
      <c r="FZ121" s="151"/>
      <c r="GA121" s="151"/>
      <c r="GB121" s="151"/>
      <c r="GC121" s="151"/>
      <c r="GD121" s="151"/>
      <c r="GE121" s="151"/>
      <c r="GF121" s="151"/>
      <c r="GG121" s="151"/>
      <c r="GH121" s="151"/>
      <c r="GI121" s="151"/>
      <c r="GJ121" s="151"/>
      <c r="GK121" s="151"/>
      <c r="GL121" s="151"/>
      <c r="GM121" s="151"/>
      <c r="GN121" s="151"/>
      <c r="GO121" s="151"/>
      <c r="GP121" s="151"/>
    </row>
    <row r="122" spans="1:198" s="150" customFormat="1" ht="15.5">
      <c r="A122" s="693"/>
      <c r="B122" s="694" t="s">
        <v>1178</v>
      </c>
      <c r="C122" s="613"/>
      <c r="D122" s="613"/>
      <c r="E122" s="602"/>
      <c r="F122" s="605">
        <f>SUM(F121)</f>
        <v>0</v>
      </c>
      <c r="G122" s="165"/>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c r="BI122" s="153"/>
      <c r="BJ122" s="153"/>
      <c r="BK122" s="153"/>
      <c r="BL122" s="153"/>
      <c r="BM122" s="153"/>
      <c r="BN122" s="153"/>
      <c r="BO122" s="153"/>
      <c r="BP122" s="153"/>
      <c r="BQ122" s="153"/>
      <c r="BR122" s="153"/>
      <c r="BS122" s="153"/>
      <c r="BT122" s="153"/>
      <c r="BU122" s="153"/>
      <c r="BV122" s="153"/>
      <c r="BW122" s="153"/>
      <c r="BX122" s="153"/>
      <c r="BY122" s="153"/>
      <c r="BZ122" s="153"/>
      <c r="CA122" s="153"/>
      <c r="CB122" s="153"/>
      <c r="CC122" s="153"/>
      <c r="CD122" s="153"/>
      <c r="CE122" s="153"/>
      <c r="CF122" s="153"/>
      <c r="CG122" s="153"/>
      <c r="CH122" s="153"/>
      <c r="CI122" s="153"/>
      <c r="CJ122" s="153"/>
      <c r="CK122" s="153"/>
      <c r="CL122" s="153"/>
      <c r="CM122" s="153"/>
      <c r="CN122" s="153"/>
      <c r="CO122" s="153"/>
      <c r="CP122" s="153"/>
      <c r="CQ122" s="153"/>
      <c r="CR122" s="153"/>
      <c r="CS122" s="153"/>
      <c r="CT122" s="153"/>
      <c r="CU122" s="153"/>
      <c r="CV122" s="153"/>
      <c r="CW122" s="153"/>
      <c r="CX122" s="153"/>
      <c r="CY122" s="153"/>
      <c r="CZ122" s="153"/>
      <c r="DA122" s="153"/>
      <c r="DB122" s="153"/>
      <c r="DC122" s="153"/>
      <c r="DD122" s="153"/>
      <c r="DE122" s="153"/>
      <c r="DF122" s="153"/>
      <c r="DG122" s="153"/>
      <c r="DH122" s="153"/>
      <c r="DI122" s="153"/>
      <c r="DJ122" s="153"/>
      <c r="DK122" s="153"/>
      <c r="DL122" s="153"/>
      <c r="DM122" s="153"/>
      <c r="DN122" s="153"/>
      <c r="DO122" s="153"/>
      <c r="DP122" s="153"/>
      <c r="DQ122" s="153"/>
      <c r="DR122" s="153"/>
      <c r="DS122" s="153"/>
      <c r="DT122" s="153"/>
      <c r="DU122" s="153"/>
      <c r="DV122" s="153"/>
      <c r="DW122" s="153"/>
      <c r="DX122" s="153"/>
      <c r="DY122" s="153"/>
      <c r="DZ122" s="153"/>
      <c r="EA122" s="153"/>
      <c r="EB122" s="153"/>
      <c r="EC122" s="153"/>
      <c r="ED122" s="153"/>
      <c r="EE122" s="153"/>
      <c r="EF122" s="153"/>
      <c r="EG122" s="153"/>
      <c r="EH122" s="153"/>
      <c r="EI122" s="153"/>
      <c r="EJ122" s="153"/>
      <c r="EK122" s="153"/>
      <c r="EL122" s="153"/>
      <c r="EM122" s="153"/>
      <c r="EN122" s="153"/>
      <c r="EO122" s="153"/>
      <c r="EP122" s="153"/>
      <c r="EQ122" s="153"/>
      <c r="ER122" s="153"/>
      <c r="ES122" s="153"/>
      <c r="ET122" s="153"/>
      <c r="EU122" s="153"/>
      <c r="EV122" s="153"/>
      <c r="EW122" s="153"/>
      <c r="EX122" s="153"/>
      <c r="EY122" s="153"/>
      <c r="EZ122" s="153"/>
      <c r="FA122" s="153"/>
      <c r="FB122" s="153"/>
      <c r="FC122" s="153"/>
      <c r="FD122" s="153"/>
      <c r="FE122" s="153"/>
      <c r="FF122" s="153"/>
      <c r="FG122" s="153"/>
      <c r="FH122" s="153"/>
      <c r="FI122" s="153"/>
      <c r="FJ122" s="153"/>
      <c r="FK122" s="153"/>
      <c r="FL122" s="153"/>
      <c r="FM122" s="153"/>
      <c r="FN122" s="153"/>
      <c r="FO122" s="153"/>
      <c r="FP122" s="153"/>
      <c r="FQ122" s="153"/>
      <c r="FR122" s="153"/>
      <c r="FS122" s="153"/>
      <c r="FT122" s="153"/>
      <c r="FU122" s="153"/>
      <c r="FV122" s="153"/>
      <c r="FW122" s="153"/>
      <c r="FX122" s="153"/>
      <c r="FY122" s="153"/>
      <c r="FZ122" s="153"/>
      <c r="GA122" s="153"/>
      <c r="GB122" s="153"/>
      <c r="GC122" s="153"/>
      <c r="GD122" s="153"/>
      <c r="GE122" s="153"/>
      <c r="GF122" s="153"/>
      <c r="GG122" s="153"/>
      <c r="GH122" s="153"/>
      <c r="GI122" s="153"/>
      <c r="GJ122" s="153"/>
      <c r="GK122" s="153"/>
      <c r="GL122" s="153"/>
      <c r="GM122" s="153"/>
      <c r="GN122" s="153"/>
      <c r="GO122" s="153"/>
      <c r="GP122" s="153"/>
    </row>
    <row r="123" spans="1:198" s="150" customFormat="1" ht="15.5">
      <c r="A123" s="693"/>
      <c r="B123" s="694"/>
      <c r="C123" s="613"/>
      <c r="D123" s="613"/>
      <c r="E123" s="602"/>
      <c r="F123" s="605"/>
      <c r="G123" s="165"/>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c r="BI123" s="153"/>
      <c r="BJ123" s="153"/>
      <c r="BK123" s="153"/>
      <c r="BL123" s="153"/>
      <c r="BM123" s="153"/>
      <c r="BN123" s="153"/>
      <c r="BO123" s="153"/>
      <c r="BP123" s="153"/>
      <c r="BQ123" s="153"/>
      <c r="BR123" s="153"/>
      <c r="BS123" s="153"/>
      <c r="BT123" s="153"/>
      <c r="BU123" s="153"/>
      <c r="BV123" s="153"/>
      <c r="BW123" s="153"/>
      <c r="BX123" s="153"/>
      <c r="BY123" s="153"/>
      <c r="BZ123" s="153"/>
      <c r="CA123" s="153"/>
      <c r="CB123" s="153"/>
      <c r="CC123" s="153"/>
      <c r="CD123" s="153"/>
      <c r="CE123" s="153"/>
      <c r="CF123" s="153"/>
      <c r="CG123" s="153"/>
      <c r="CH123" s="153"/>
      <c r="CI123" s="153"/>
      <c r="CJ123" s="153"/>
      <c r="CK123" s="153"/>
      <c r="CL123" s="153"/>
      <c r="CM123" s="153"/>
      <c r="CN123" s="153"/>
      <c r="CO123" s="153"/>
      <c r="CP123" s="153"/>
      <c r="CQ123" s="153"/>
      <c r="CR123" s="153"/>
      <c r="CS123" s="153"/>
      <c r="CT123" s="153"/>
      <c r="CU123" s="153"/>
      <c r="CV123" s="153"/>
      <c r="CW123" s="153"/>
      <c r="CX123" s="153"/>
      <c r="CY123" s="153"/>
      <c r="CZ123" s="153"/>
      <c r="DA123" s="153"/>
      <c r="DB123" s="153"/>
      <c r="DC123" s="153"/>
      <c r="DD123" s="153"/>
      <c r="DE123" s="153"/>
      <c r="DF123" s="153"/>
      <c r="DG123" s="153"/>
      <c r="DH123" s="153"/>
      <c r="DI123" s="153"/>
      <c r="DJ123" s="153"/>
      <c r="DK123" s="153"/>
      <c r="DL123" s="153"/>
      <c r="DM123" s="153"/>
      <c r="DN123" s="153"/>
      <c r="DO123" s="153"/>
      <c r="DP123" s="153"/>
      <c r="DQ123" s="153"/>
      <c r="DR123" s="153"/>
      <c r="DS123" s="153"/>
      <c r="DT123" s="153"/>
      <c r="DU123" s="153"/>
      <c r="DV123" s="153"/>
      <c r="DW123" s="153"/>
      <c r="DX123" s="153"/>
      <c r="DY123" s="153"/>
      <c r="DZ123" s="153"/>
      <c r="EA123" s="153"/>
      <c r="EB123" s="153"/>
      <c r="EC123" s="153"/>
      <c r="ED123" s="153"/>
      <c r="EE123" s="153"/>
      <c r="EF123" s="153"/>
      <c r="EG123" s="153"/>
      <c r="EH123" s="153"/>
      <c r="EI123" s="153"/>
      <c r="EJ123" s="153"/>
      <c r="EK123" s="153"/>
      <c r="EL123" s="153"/>
      <c r="EM123" s="153"/>
      <c r="EN123" s="153"/>
      <c r="EO123" s="153"/>
      <c r="EP123" s="153"/>
      <c r="EQ123" s="153"/>
      <c r="ER123" s="153"/>
      <c r="ES123" s="153"/>
      <c r="ET123" s="153"/>
      <c r="EU123" s="153"/>
      <c r="EV123" s="153"/>
      <c r="EW123" s="153"/>
      <c r="EX123" s="153"/>
      <c r="EY123" s="153"/>
      <c r="EZ123" s="153"/>
      <c r="FA123" s="153"/>
      <c r="FB123" s="153"/>
      <c r="FC123" s="153"/>
      <c r="FD123" s="153"/>
      <c r="FE123" s="153"/>
      <c r="FF123" s="153"/>
      <c r="FG123" s="153"/>
      <c r="FH123" s="153"/>
      <c r="FI123" s="153"/>
      <c r="FJ123" s="153"/>
      <c r="FK123" s="153"/>
      <c r="FL123" s="153"/>
      <c r="FM123" s="153"/>
      <c r="FN123" s="153"/>
      <c r="FO123" s="153"/>
      <c r="FP123" s="153"/>
      <c r="FQ123" s="153"/>
      <c r="FR123" s="153"/>
      <c r="FS123" s="153"/>
      <c r="FT123" s="153"/>
      <c r="FU123" s="153"/>
      <c r="FV123" s="153"/>
      <c r="FW123" s="153"/>
      <c r="FX123" s="153"/>
      <c r="FY123" s="153"/>
      <c r="FZ123" s="153"/>
      <c r="GA123" s="153"/>
      <c r="GB123" s="153"/>
      <c r="GC123" s="153"/>
      <c r="GD123" s="153"/>
      <c r="GE123" s="153"/>
      <c r="GF123" s="153"/>
      <c r="GG123" s="153"/>
      <c r="GH123" s="153"/>
      <c r="GI123" s="153"/>
      <c r="GJ123" s="153"/>
      <c r="GK123" s="153"/>
      <c r="GL123" s="153"/>
      <c r="GM123" s="153"/>
      <c r="GN123" s="153"/>
      <c r="GO123" s="153"/>
      <c r="GP123" s="153"/>
    </row>
    <row r="124" spans="1:198" s="644" customFormat="1">
      <c r="A124" s="690">
        <v>5.7</v>
      </c>
      <c r="B124" s="674" t="s">
        <v>1077</v>
      </c>
      <c r="C124" s="648"/>
      <c r="D124" s="618"/>
      <c r="E124" s="648"/>
      <c r="F124" s="682"/>
    </row>
    <row r="125" spans="1:198" s="644" customFormat="1">
      <c r="A125" s="681"/>
      <c r="B125" s="649" t="s">
        <v>55</v>
      </c>
      <c r="C125" s="648"/>
      <c r="D125" s="618"/>
      <c r="E125" s="648"/>
      <c r="F125" s="682"/>
    </row>
    <row r="126" spans="1:198" s="644" customFormat="1">
      <c r="A126" s="681"/>
      <c r="B126" s="649" t="s">
        <v>56</v>
      </c>
      <c r="C126" s="648"/>
      <c r="D126" s="618"/>
      <c r="E126" s="648"/>
      <c r="F126" s="682"/>
    </row>
    <row r="127" spans="1:198" s="644" customFormat="1">
      <c r="A127" s="681" t="s">
        <v>1308</v>
      </c>
      <c r="B127" s="616" t="s">
        <v>949</v>
      </c>
      <c r="C127" s="648" t="s">
        <v>33</v>
      </c>
      <c r="D127" s="618">
        <f>D71</f>
        <v>150</v>
      </c>
      <c r="E127" s="648"/>
      <c r="F127" s="682">
        <f>E127*D127</f>
        <v>0</v>
      </c>
    </row>
    <row r="128" spans="1:198" s="644" customFormat="1">
      <c r="A128" s="681"/>
      <c r="B128" s="649" t="s">
        <v>1041</v>
      </c>
      <c r="C128" s="648"/>
      <c r="D128" s="618"/>
      <c r="E128" s="648"/>
      <c r="F128" s="682"/>
    </row>
    <row r="129" spans="1:7" s="644" customFormat="1">
      <c r="A129" s="681" t="s">
        <v>1309</v>
      </c>
      <c r="B129" s="616" t="s">
        <v>1042</v>
      </c>
      <c r="C129" s="648" t="s">
        <v>33</v>
      </c>
      <c r="D129" s="618">
        <v>275</v>
      </c>
      <c r="E129" s="648"/>
      <c r="F129" s="682">
        <f>E129*D129</f>
        <v>0</v>
      </c>
    </row>
    <row r="130" spans="1:7" s="644" customFormat="1">
      <c r="A130" s="681"/>
      <c r="B130" s="616" t="s">
        <v>1263</v>
      </c>
      <c r="C130" s="648" t="s">
        <v>441</v>
      </c>
      <c r="D130" s="618">
        <f>D62</f>
        <v>125</v>
      </c>
      <c r="E130" s="648"/>
      <c r="F130" s="682">
        <f>E130*D130</f>
        <v>0</v>
      </c>
    </row>
    <row r="131" spans="1:7" s="644" customFormat="1">
      <c r="A131" s="681"/>
      <c r="B131" s="674" t="s">
        <v>18</v>
      </c>
      <c r="C131" s="648"/>
      <c r="D131" s="618"/>
      <c r="E131" s="648"/>
      <c r="F131" s="682"/>
    </row>
    <row r="132" spans="1:7" s="644" customFormat="1">
      <c r="A132" s="681"/>
      <c r="B132" s="649" t="s">
        <v>486</v>
      </c>
      <c r="C132" s="648"/>
      <c r="D132" s="618"/>
      <c r="E132" s="648"/>
      <c r="F132" s="682"/>
    </row>
    <row r="133" spans="1:7" s="644" customFormat="1">
      <c r="A133" s="681" t="s">
        <v>1310</v>
      </c>
      <c r="B133" s="616" t="s">
        <v>1078</v>
      </c>
      <c r="C133" s="648" t="s">
        <v>33</v>
      </c>
      <c r="D133" s="618">
        <f>D15</f>
        <v>125</v>
      </c>
      <c r="E133" s="648"/>
      <c r="F133" s="682">
        <f>E133*D133</f>
        <v>0</v>
      </c>
    </row>
    <row r="134" spans="1:7" s="644" customFormat="1">
      <c r="A134" s="681" t="s">
        <v>1311</v>
      </c>
      <c r="B134" s="616" t="s">
        <v>1079</v>
      </c>
      <c r="C134" s="648" t="s">
        <v>50</v>
      </c>
      <c r="D134" s="618">
        <v>150</v>
      </c>
      <c r="E134" s="648"/>
      <c r="F134" s="682">
        <f t="shared" ref="F134" si="5">D134*E134</f>
        <v>0</v>
      </c>
    </row>
    <row r="135" spans="1:7" s="166" customFormat="1" ht="15.5">
      <c r="A135" s="716" t="s">
        <v>1312</v>
      </c>
      <c r="B135" s="717" t="s">
        <v>523</v>
      </c>
      <c r="C135" s="617" t="s">
        <v>33</v>
      </c>
      <c r="D135" s="617">
        <v>21</v>
      </c>
      <c r="E135" s="618"/>
      <c r="F135" s="612">
        <f t="shared" ref="F135" si="6">E135*D135</f>
        <v>0</v>
      </c>
    </row>
    <row r="136" spans="1:7" s="644" customFormat="1">
      <c r="A136" s="681"/>
      <c r="B136" s="674" t="s">
        <v>392</v>
      </c>
      <c r="C136" s="648"/>
      <c r="D136" s="618"/>
      <c r="E136" s="648"/>
      <c r="F136" s="682"/>
    </row>
    <row r="137" spans="1:7" s="644" customFormat="1">
      <c r="A137" s="681"/>
      <c r="B137" s="674" t="s">
        <v>1043</v>
      </c>
      <c r="C137" s="648"/>
      <c r="D137" s="618"/>
      <c r="E137" s="648"/>
      <c r="F137" s="682"/>
    </row>
    <row r="138" spans="1:7" s="644" customFormat="1">
      <c r="A138" s="681"/>
      <c r="B138" s="674" t="s">
        <v>1044</v>
      </c>
      <c r="C138" s="648"/>
      <c r="D138" s="618"/>
      <c r="E138" s="648"/>
      <c r="F138" s="682"/>
    </row>
    <row r="139" spans="1:7" s="644" customFormat="1">
      <c r="A139" s="681" t="s">
        <v>1313</v>
      </c>
      <c r="B139" s="616" t="s">
        <v>1045</v>
      </c>
      <c r="C139" s="648" t="s">
        <v>33</v>
      </c>
      <c r="D139" s="618">
        <f>D127</f>
        <v>150</v>
      </c>
      <c r="E139" s="648"/>
      <c r="F139" s="682">
        <f>E139*D139</f>
        <v>0</v>
      </c>
    </row>
    <row r="140" spans="1:7" s="644" customFormat="1">
      <c r="A140" s="681"/>
      <c r="B140" s="674" t="s">
        <v>1046</v>
      </c>
      <c r="C140" s="648"/>
      <c r="D140" s="618"/>
      <c r="E140" s="648"/>
      <c r="F140" s="682"/>
    </row>
    <row r="141" spans="1:7" s="644" customFormat="1">
      <c r="A141" s="681"/>
      <c r="B141" s="674" t="s">
        <v>1047</v>
      </c>
      <c r="C141" s="648"/>
      <c r="D141" s="618"/>
      <c r="E141" s="648"/>
      <c r="F141" s="682"/>
    </row>
    <row r="142" spans="1:7" s="644" customFormat="1">
      <c r="A142" s="681" t="s">
        <v>1314</v>
      </c>
      <c r="B142" s="616" t="s">
        <v>1048</v>
      </c>
      <c r="C142" s="648" t="s">
        <v>33</v>
      </c>
      <c r="D142" s="618">
        <f>D129+D130</f>
        <v>400</v>
      </c>
      <c r="E142" s="648"/>
      <c r="F142" s="682">
        <f>E142*D142</f>
        <v>0</v>
      </c>
    </row>
    <row r="143" spans="1:7" s="155" customFormat="1" ht="15.5">
      <c r="A143" s="718"/>
      <c r="B143" s="719" t="s">
        <v>1179</v>
      </c>
      <c r="C143" s="720"/>
      <c r="D143" s="718"/>
      <c r="E143" s="718"/>
      <c r="F143" s="721">
        <f>SUM(F126:F142)</f>
        <v>0</v>
      </c>
      <c r="G143" s="167"/>
    </row>
    <row r="144" spans="1:7" s="156" customFormat="1" ht="15.5">
      <c r="A144" s="722"/>
      <c r="B144" s="723"/>
      <c r="C144" s="724"/>
      <c r="D144" s="725"/>
      <c r="E144" s="726"/>
      <c r="F144" s="727">
        <f t="shared" ref="F144:F164" si="7">E144*D144</f>
        <v>0</v>
      </c>
      <c r="G144" s="168"/>
    </row>
    <row r="145" spans="1:7" s="185" customFormat="1" ht="15.5">
      <c r="A145" s="728">
        <v>5.8</v>
      </c>
      <c r="B145" s="729" t="s">
        <v>1180</v>
      </c>
      <c r="C145" s="730"/>
      <c r="D145" s="731"/>
      <c r="E145" s="730"/>
      <c r="F145" s="732">
        <f t="shared" si="7"/>
        <v>0</v>
      </c>
      <c r="G145" s="170"/>
    </row>
    <row r="146" spans="1:7" s="157" customFormat="1" ht="29.4" customHeight="1">
      <c r="A146" s="733"/>
      <c r="B146" s="734" t="s">
        <v>479</v>
      </c>
      <c r="C146" s="735"/>
      <c r="D146" s="736"/>
      <c r="E146" s="737"/>
      <c r="F146" s="727">
        <f t="shared" si="7"/>
        <v>0</v>
      </c>
      <c r="G146" s="169"/>
    </row>
    <row r="147" spans="1:7" s="157" customFormat="1" ht="20.399999999999999" customHeight="1">
      <c r="A147" s="733" t="s">
        <v>1315</v>
      </c>
      <c r="B147" s="738" t="s">
        <v>513</v>
      </c>
      <c r="C147" s="735" t="s">
        <v>5</v>
      </c>
      <c r="D147" s="617">
        <v>6</v>
      </c>
      <c r="E147" s="586"/>
      <c r="F147" s="612">
        <f t="shared" si="7"/>
        <v>0</v>
      </c>
      <c r="G147" s="169"/>
    </row>
    <row r="148" spans="1:7" s="157" customFormat="1" ht="15.5">
      <c r="A148" s="733"/>
      <c r="B148" s="739" t="s">
        <v>198</v>
      </c>
      <c r="C148" s="735"/>
      <c r="D148" s="617"/>
      <c r="E148" s="586"/>
      <c r="F148" s="612">
        <f t="shared" si="7"/>
        <v>0</v>
      </c>
      <c r="G148" s="169"/>
    </row>
    <row r="149" spans="1:7" s="157" customFormat="1" ht="20.399999999999999" customHeight="1">
      <c r="A149" s="733" t="s">
        <v>1316</v>
      </c>
      <c r="B149" s="738" t="s">
        <v>269</v>
      </c>
      <c r="C149" s="735" t="s">
        <v>12</v>
      </c>
      <c r="D149" s="617">
        <v>3</v>
      </c>
      <c r="E149" s="586"/>
      <c r="F149" s="612">
        <f t="shared" si="7"/>
        <v>0</v>
      </c>
      <c r="G149" s="169"/>
    </row>
    <row r="150" spans="1:7" s="157" customFormat="1" ht="15.5">
      <c r="A150" s="733"/>
      <c r="B150" s="729" t="s">
        <v>199</v>
      </c>
      <c r="C150" s="737"/>
      <c r="D150" s="617"/>
      <c r="E150" s="586"/>
      <c r="F150" s="612">
        <f t="shared" si="7"/>
        <v>0</v>
      </c>
      <c r="G150" s="169"/>
    </row>
    <row r="151" spans="1:7" s="157" customFormat="1" ht="29.4" customHeight="1">
      <c r="A151" s="733"/>
      <c r="B151" s="740" t="s">
        <v>480</v>
      </c>
      <c r="C151" s="735"/>
      <c r="D151" s="617"/>
      <c r="E151" s="586"/>
      <c r="F151" s="612">
        <f t="shared" si="7"/>
        <v>0</v>
      </c>
      <c r="G151" s="169"/>
    </row>
    <row r="152" spans="1:7" s="185" customFormat="1" ht="15.5">
      <c r="A152" s="728"/>
      <c r="B152" s="757" t="s">
        <v>1327</v>
      </c>
      <c r="C152" s="742"/>
      <c r="D152" s="715"/>
      <c r="E152" s="602"/>
      <c r="F152" s="605">
        <f>SUM(F144:F151)</f>
        <v>0</v>
      </c>
      <c r="G152" s="170"/>
    </row>
    <row r="153" spans="1:7">
      <c r="A153" s="668" t="s">
        <v>0</v>
      </c>
      <c r="B153" s="669" t="s">
        <v>1</v>
      </c>
      <c r="C153" s="592" t="s">
        <v>2</v>
      </c>
      <c r="D153" s="593" t="s">
        <v>426</v>
      </c>
      <c r="E153" s="594" t="s">
        <v>368</v>
      </c>
      <c r="F153" s="595" t="s">
        <v>472</v>
      </c>
      <c r="G153" s="186"/>
    </row>
    <row r="154" spans="1:7" s="157" customFormat="1" ht="15.5">
      <c r="A154" s="733"/>
      <c r="B154" s="157" t="s">
        <v>1328</v>
      </c>
      <c r="C154" s="735"/>
      <c r="D154" s="617"/>
      <c r="E154" s="586"/>
      <c r="F154" s="612">
        <f>F152</f>
        <v>0</v>
      </c>
      <c r="G154" s="169"/>
    </row>
    <row r="155" spans="1:7" s="157" customFormat="1" ht="15.5">
      <c r="A155" s="733"/>
      <c r="B155" s="741" t="s">
        <v>206</v>
      </c>
      <c r="C155" s="735"/>
      <c r="D155" s="617"/>
      <c r="E155" s="586"/>
      <c r="F155" s="612"/>
      <c r="G155" s="169"/>
    </row>
    <row r="156" spans="1:7" s="157" customFormat="1" ht="15.5">
      <c r="A156" s="733" t="s">
        <v>1317</v>
      </c>
      <c r="B156" s="741" t="s">
        <v>207</v>
      </c>
      <c r="C156" s="735" t="s">
        <v>12</v>
      </c>
      <c r="D156" s="617">
        <v>4</v>
      </c>
      <c r="E156" s="586"/>
      <c r="F156" s="612">
        <f t="shared" si="7"/>
        <v>0</v>
      </c>
      <c r="G156" s="169"/>
    </row>
    <row r="157" spans="1:7" s="157" customFormat="1" ht="15.5">
      <c r="A157" s="733"/>
      <c r="B157" s="739" t="s">
        <v>514</v>
      </c>
      <c r="C157" s="737"/>
      <c r="D157" s="617"/>
      <c r="E157" s="586"/>
      <c r="F157" s="612">
        <f t="shared" si="7"/>
        <v>0</v>
      </c>
      <c r="G157" s="169"/>
    </row>
    <row r="158" spans="1:7" s="157" customFormat="1" ht="81.650000000000006" customHeight="1">
      <c r="A158" s="733"/>
      <c r="B158" s="738" t="s">
        <v>515</v>
      </c>
      <c r="C158" s="735"/>
      <c r="D158" s="617"/>
      <c r="E158" s="586"/>
      <c r="F158" s="612">
        <f t="shared" si="7"/>
        <v>0</v>
      </c>
      <c r="G158" s="169"/>
    </row>
    <row r="159" spans="1:7" s="157" customFormat="1" ht="15.5">
      <c r="A159" s="733" t="s">
        <v>1318</v>
      </c>
      <c r="B159" s="741" t="s">
        <v>516</v>
      </c>
      <c r="C159" s="735" t="s">
        <v>4</v>
      </c>
      <c r="D159" s="617">
        <v>75</v>
      </c>
      <c r="E159" s="586"/>
      <c r="F159" s="612">
        <f t="shared" si="7"/>
        <v>0</v>
      </c>
      <c r="G159" s="169"/>
    </row>
    <row r="160" spans="1:7" s="185" customFormat="1" ht="15.5">
      <c r="A160" s="728"/>
      <c r="B160" s="734" t="s">
        <v>1183</v>
      </c>
      <c r="C160" s="742"/>
      <c r="D160" s="715"/>
      <c r="E160" s="602"/>
      <c r="F160" s="605">
        <f>SUM(F154:F159)</f>
        <v>0</v>
      </c>
      <c r="G160" s="170"/>
    </row>
    <row r="161" spans="1:7" s="157" customFormat="1" ht="15.5">
      <c r="A161" s="733"/>
      <c r="B161" s="741"/>
      <c r="C161" s="735"/>
      <c r="D161" s="617"/>
      <c r="E161" s="586"/>
      <c r="F161" s="612"/>
      <c r="G161" s="169"/>
    </row>
    <row r="162" spans="1:7" s="185" customFormat="1" ht="15.5">
      <c r="A162" s="743">
        <v>5.9</v>
      </c>
      <c r="B162" s="729" t="s">
        <v>1330</v>
      </c>
      <c r="C162" s="742"/>
      <c r="D162" s="617"/>
      <c r="E162" s="586"/>
      <c r="F162" s="612"/>
      <c r="G162" s="170"/>
    </row>
    <row r="163" spans="1:7" s="157" customFormat="1" ht="46.5">
      <c r="A163" s="744"/>
      <c r="B163" s="723" t="s">
        <v>517</v>
      </c>
      <c r="C163" s="745"/>
      <c r="D163" s="617"/>
      <c r="E163" s="586"/>
      <c r="F163" s="612">
        <f t="shared" si="7"/>
        <v>0</v>
      </c>
      <c r="G163" s="169"/>
    </row>
    <row r="164" spans="1:7" s="157" customFormat="1" ht="15.5">
      <c r="A164" s="744" t="s">
        <v>1319</v>
      </c>
      <c r="B164" s="746" t="s">
        <v>518</v>
      </c>
      <c r="C164" s="745" t="s">
        <v>519</v>
      </c>
      <c r="D164" s="617">
        <v>3</v>
      </c>
      <c r="E164" s="586"/>
      <c r="F164" s="612">
        <f t="shared" si="7"/>
        <v>0</v>
      </c>
      <c r="G164" s="169"/>
    </row>
    <row r="165" spans="1:7" s="185" customFormat="1" ht="15.5">
      <c r="A165" s="722"/>
      <c r="B165" s="747"/>
      <c r="C165" s="636"/>
      <c r="D165" s="715"/>
      <c r="E165" s="602"/>
      <c r="F165" s="605"/>
      <c r="G165" s="170"/>
    </row>
    <row r="166" spans="1:7" s="582" customFormat="1">
      <c r="A166" s="591"/>
      <c r="B166" s="614" t="s">
        <v>351</v>
      </c>
      <c r="C166" s="606"/>
      <c r="D166" s="606"/>
      <c r="E166" s="586"/>
      <c r="F166" s="612"/>
    </row>
    <row r="167" spans="1:7" s="582" customFormat="1" ht="43.5">
      <c r="A167" s="591"/>
      <c r="B167" s="596" t="s">
        <v>1218</v>
      </c>
      <c r="C167" s="606"/>
      <c r="D167" s="606"/>
      <c r="E167" s="586"/>
      <c r="F167" s="612"/>
    </row>
    <row r="168" spans="1:7" s="582" customFormat="1" ht="130.5">
      <c r="A168" s="591" t="s">
        <v>1329</v>
      </c>
      <c r="B168" s="590" t="s">
        <v>1219</v>
      </c>
      <c r="C168" s="606" t="s">
        <v>5</v>
      </c>
      <c r="D168" s="606">
        <v>3</v>
      </c>
      <c r="E168" s="586"/>
      <c r="F168" s="612">
        <f>D168*E168</f>
        <v>0</v>
      </c>
    </row>
    <row r="169" spans="1:7" s="604" customFormat="1">
      <c r="A169" s="583"/>
      <c r="B169" s="599" t="s">
        <v>1220</v>
      </c>
      <c r="F169" s="620">
        <f>SUM(F164:F168)</f>
        <v>0</v>
      </c>
    </row>
    <row r="170" spans="1:7" s="157" customFormat="1" ht="15.5">
      <c r="A170" s="744"/>
      <c r="B170" s="746"/>
      <c r="C170" s="745"/>
      <c r="D170" s="617"/>
      <c r="E170" s="586"/>
      <c r="F170" s="612"/>
      <c r="G170" s="169"/>
    </row>
    <row r="171" spans="1:7" s="158" customFormat="1" ht="15.5">
      <c r="A171" s="722" t="s">
        <v>1320</v>
      </c>
      <c r="B171" s="748" t="s">
        <v>1189</v>
      </c>
      <c r="C171" s="636"/>
      <c r="D171" s="617"/>
      <c r="E171" s="586"/>
      <c r="F171" s="612"/>
      <c r="G171" s="170"/>
    </row>
    <row r="172" spans="1:7" s="148" customFormat="1" ht="46.5">
      <c r="A172" s="744" t="s">
        <v>1321</v>
      </c>
      <c r="B172" s="746" t="s">
        <v>524</v>
      </c>
      <c r="C172" s="745" t="s">
        <v>146</v>
      </c>
      <c r="D172" s="617" t="s">
        <v>439</v>
      </c>
      <c r="E172" s="586"/>
      <c r="F172" s="612"/>
      <c r="G172" s="169"/>
    </row>
    <row r="173" spans="1:7" s="158" customFormat="1" ht="15.5">
      <c r="A173" s="722"/>
      <c r="B173" s="599" t="s">
        <v>1186</v>
      </c>
      <c r="C173" s="583"/>
      <c r="D173" s="602"/>
      <c r="E173" s="600"/>
      <c r="F173" s="749">
        <f>F172</f>
        <v>0</v>
      </c>
      <c r="G173" s="170"/>
    </row>
    <row r="174" spans="1:7" s="158" customFormat="1" ht="15.5">
      <c r="A174" s="722"/>
      <c r="B174" s="599"/>
      <c r="C174" s="583"/>
      <c r="D174" s="602"/>
      <c r="E174" s="600"/>
      <c r="F174" s="750"/>
      <c r="G174" s="170"/>
    </row>
    <row r="175" spans="1:7" s="158" customFormat="1" ht="15.5">
      <c r="A175" s="722"/>
      <c r="B175" s="599"/>
      <c r="C175" s="583"/>
      <c r="D175" s="602"/>
      <c r="E175" s="600"/>
      <c r="F175" s="750"/>
      <c r="G175" s="170"/>
    </row>
    <row r="176" spans="1:7" s="158" customFormat="1" ht="15.5">
      <c r="A176" s="722"/>
      <c r="B176" s="599"/>
      <c r="C176" s="583"/>
      <c r="D176" s="602"/>
      <c r="E176" s="600"/>
      <c r="F176" s="750"/>
      <c r="G176" s="170"/>
    </row>
    <row r="177" spans="1:7" s="158" customFormat="1" ht="15.5">
      <c r="A177" s="744"/>
      <c r="B177" s="590"/>
      <c r="C177" s="591"/>
      <c r="D177" s="586"/>
      <c r="E177" s="597"/>
      <c r="F177" s="803"/>
      <c r="G177" s="170"/>
    </row>
    <row r="178" spans="1:7" s="158" customFormat="1" ht="15.5">
      <c r="A178" s="722"/>
      <c r="B178" s="599" t="s">
        <v>1848</v>
      </c>
      <c r="C178" s="583"/>
      <c r="D178" s="602"/>
      <c r="E178" s="600"/>
      <c r="F178" s="749"/>
      <c r="G178" s="170"/>
    </row>
    <row r="179" spans="1:7" s="158" customFormat="1" ht="15.5">
      <c r="A179" s="744"/>
      <c r="B179" s="590"/>
      <c r="C179" s="591"/>
      <c r="D179" s="586"/>
      <c r="E179" s="597"/>
      <c r="F179" s="803"/>
      <c r="G179" s="170"/>
    </row>
    <row r="180" spans="1:7" s="158" customFormat="1" ht="15.5">
      <c r="A180" s="744"/>
      <c r="B180" s="590" t="str">
        <f>B4</f>
        <v>ELEMENT NO. 1 : SUB-STRUCTURES (all provisional)</v>
      </c>
      <c r="C180" s="591"/>
      <c r="D180" s="586"/>
      <c r="E180" s="597"/>
      <c r="F180" s="803">
        <f>F48</f>
        <v>0</v>
      </c>
      <c r="G180" s="170"/>
    </row>
    <row r="181" spans="1:7" s="158" customFormat="1" ht="15.5">
      <c r="A181" s="744"/>
      <c r="B181" s="590"/>
      <c r="C181" s="591"/>
      <c r="D181" s="586"/>
      <c r="E181" s="597"/>
      <c r="F181" s="803"/>
      <c r="G181" s="170"/>
    </row>
    <row r="182" spans="1:7" s="158" customFormat="1" ht="15.5">
      <c r="A182" s="744"/>
      <c r="B182" s="590" t="str">
        <f>B51</f>
        <v>ELEMENT NO. 2: SUPER STRUCTURE CONCRETE</v>
      </c>
      <c r="C182" s="591"/>
      <c r="D182" s="586"/>
      <c r="E182" s="597"/>
      <c r="F182" s="803">
        <f>F63</f>
        <v>0</v>
      </c>
      <c r="G182" s="170"/>
    </row>
    <row r="183" spans="1:7" s="158" customFormat="1" ht="15.5">
      <c r="A183" s="744"/>
      <c r="B183" s="590"/>
      <c r="C183" s="591"/>
      <c r="D183" s="586"/>
      <c r="E183" s="597"/>
      <c r="F183" s="803"/>
      <c r="G183" s="170"/>
    </row>
    <row r="184" spans="1:7" s="158" customFormat="1" ht="15.5">
      <c r="A184" s="744"/>
      <c r="B184" s="590" t="str">
        <f>B65</f>
        <v>ELEMENT NO. 3 SUPERSTRUCTURE WALLING</v>
      </c>
      <c r="C184" s="591"/>
      <c r="D184" s="586"/>
      <c r="E184" s="597"/>
      <c r="F184" s="803">
        <f>F77</f>
        <v>0</v>
      </c>
      <c r="G184" s="170"/>
    </row>
    <row r="185" spans="1:7" s="158" customFormat="1" ht="15.5">
      <c r="A185" s="744"/>
      <c r="B185" s="590"/>
      <c r="C185" s="591"/>
      <c r="D185" s="586"/>
      <c r="E185" s="597"/>
      <c r="F185" s="803"/>
      <c r="G185" s="170"/>
    </row>
    <row r="186" spans="1:7" s="158" customFormat="1" ht="15.5">
      <c r="A186" s="744"/>
      <c r="B186" s="590" t="str">
        <f>B80</f>
        <v>BILL NO. 4: ROOF</v>
      </c>
      <c r="C186" s="591"/>
      <c r="D186" s="586"/>
      <c r="E186" s="597"/>
      <c r="F186" s="803">
        <f>F102</f>
        <v>0</v>
      </c>
      <c r="G186" s="170"/>
    </row>
    <row r="187" spans="1:7" s="158" customFormat="1" ht="15.5">
      <c r="A187" s="744"/>
      <c r="B187" s="590"/>
      <c r="C187" s="591"/>
      <c r="D187" s="586"/>
      <c r="E187" s="597"/>
      <c r="F187" s="803"/>
      <c r="G187" s="170"/>
    </row>
    <row r="188" spans="1:7" s="158" customFormat="1" ht="15.5">
      <c r="A188" s="744"/>
      <c r="B188" s="590" t="str">
        <f>B104</f>
        <v>BILL NO. 5 : DOORS</v>
      </c>
      <c r="C188" s="591"/>
      <c r="D188" s="586"/>
      <c r="E188" s="597"/>
      <c r="F188" s="803">
        <f>F119</f>
        <v>0</v>
      </c>
      <c r="G188" s="170"/>
    </row>
    <row r="189" spans="1:7" s="158" customFormat="1" ht="15.5">
      <c r="A189" s="744"/>
      <c r="B189" s="590"/>
      <c r="C189" s="591"/>
      <c r="D189" s="586"/>
      <c r="E189" s="597"/>
      <c r="F189" s="803"/>
      <c r="G189" s="170"/>
    </row>
    <row r="190" spans="1:7" s="158" customFormat="1" ht="15.5">
      <c r="A190" s="744"/>
      <c r="B190" s="746" t="str">
        <f>B120</f>
        <v>BILL NO. 6 : WINDOWS</v>
      </c>
      <c r="C190" s="745"/>
      <c r="D190" s="736"/>
      <c r="E190" s="737"/>
      <c r="F190" s="804">
        <f>F122</f>
        <v>0</v>
      </c>
      <c r="G190" s="170"/>
    </row>
    <row r="191" spans="1:7" s="158" customFormat="1" ht="15.5">
      <c r="A191" s="744"/>
      <c r="B191" s="746"/>
      <c r="C191" s="745"/>
      <c r="D191" s="736"/>
      <c r="E191" s="737"/>
      <c r="F191" s="804"/>
      <c r="G191" s="170"/>
    </row>
    <row r="192" spans="1:7" s="158" customFormat="1" ht="15.5">
      <c r="A192" s="744"/>
      <c r="B192" s="746" t="str">
        <f>B124</f>
        <v>ELEMENT NO 7: FINISHES</v>
      </c>
      <c r="C192" s="745"/>
      <c r="D192" s="736"/>
      <c r="E192" s="737"/>
      <c r="F192" s="804">
        <f>F143</f>
        <v>0</v>
      </c>
      <c r="G192" s="170"/>
    </row>
    <row r="193" spans="1:7" s="158" customFormat="1" ht="15.5">
      <c r="A193" s="744"/>
      <c r="B193" s="746"/>
      <c r="C193" s="745"/>
      <c r="D193" s="736"/>
      <c r="E193" s="737"/>
      <c r="F193" s="804"/>
      <c r="G193" s="170"/>
    </row>
    <row r="194" spans="1:7" s="158" customFormat="1" ht="15.5">
      <c r="A194" s="744"/>
      <c r="B194" s="741" t="str">
        <f>B145</f>
        <v xml:space="preserve">BILL NO. 8 : LIGHTING &amp; POWER FITTINGS </v>
      </c>
      <c r="C194" s="745"/>
      <c r="D194" s="736"/>
      <c r="E194" s="737"/>
      <c r="F194" s="804">
        <f>F160</f>
        <v>0</v>
      </c>
      <c r="G194" s="170"/>
    </row>
    <row r="195" spans="1:7" s="158" customFormat="1" ht="15.5">
      <c r="A195" s="744"/>
      <c r="B195" s="746"/>
      <c r="C195" s="745"/>
      <c r="D195" s="736"/>
      <c r="E195" s="737"/>
      <c r="F195" s="804"/>
      <c r="G195" s="170"/>
    </row>
    <row r="196" spans="1:7" s="158" customFormat="1" ht="15.5">
      <c r="A196" s="744"/>
      <c r="B196" s="741" t="str">
        <f>B162</f>
        <v>BILL NO. 9: FANS AND Acs</v>
      </c>
      <c r="C196" s="745"/>
      <c r="D196" s="736"/>
      <c r="E196" s="737"/>
      <c r="F196" s="804">
        <f>F169</f>
        <v>0</v>
      </c>
      <c r="G196" s="170"/>
    </row>
    <row r="197" spans="1:7" s="158" customFormat="1" ht="15.5">
      <c r="A197" s="744"/>
      <c r="B197" s="746"/>
      <c r="C197" s="745"/>
      <c r="D197" s="736"/>
      <c r="E197" s="737"/>
      <c r="F197" s="804"/>
      <c r="G197" s="170"/>
    </row>
    <row r="198" spans="1:7" s="158" customFormat="1" ht="15.5">
      <c r="A198" s="744"/>
      <c r="B198" s="746" t="str">
        <f>B171</f>
        <v xml:space="preserve"> BILL NO. 10: POWER SUPPLY AND CONNECTION </v>
      </c>
      <c r="C198" s="745"/>
      <c r="D198" s="736"/>
      <c r="E198" s="737"/>
      <c r="F198" s="804">
        <f>F173</f>
        <v>0</v>
      </c>
      <c r="G198" s="170"/>
    </row>
    <row r="199" spans="1:7" s="158" customFormat="1" ht="15.5">
      <c r="A199" s="744"/>
      <c r="B199" s="746"/>
      <c r="C199" s="745"/>
      <c r="D199" s="736"/>
      <c r="E199" s="737"/>
      <c r="F199" s="804"/>
      <c r="G199" s="170"/>
    </row>
    <row r="200" spans="1:7" s="158" customFormat="1" ht="15.5">
      <c r="A200" s="744"/>
      <c r="B200" s="746"/>
      <c r="C200" s="745"/>
      <c r="D200" s="736"/>
      <c r="E200" s="737"/>
      <c r="F200" s="804"/>
      <c r="G200" s="170"/>
    </row>
    <row r="201" spans="1:7" s="158" customFormat="1" ht="15.5">
      <c r="A201" s="744"/>
      <c r="B201" s="746"/>
      <c r="C201" s="745"/>
      <c r="D201" s="736"/>
      <c r="E201" s="737"/>
      <c r="F201" s="804"/>
      <c r="G201" s="170"/>
    </row>
    <row r="202" spans="1:7" s="101" customFormat="1" ht="18.5">
      <c r="A202" s="678"/>
      <c r="B202" s="805" t="s">
        <v>1322</v>
      </c>
      <c r="C202" s="753"/>
      <c r="D202" s="754"/>
      <c r="E202" s="755"/>
      <c r="F202" s="806">
        <f>SUM(F180:F201)</f>
        <v>0</v>
      </c>
      <c r="G202" s="756"/>
    </row>
    <row r="203" spans="1:7" s="101" customFormat="1" ht="18.5">
      <c r="A203" s="678"/>
      <c r="B203" s="752"/>
      <c r="C203" s="753"/>
      <c r="D203" s="754"/>
      <c r="E203" s="755"/>
      <c r="F203" s="756"/>
      <c r="G203" s="159"/>
    </row>
    <row r="204" spans="1:7" s="101" customFormat="1" ht="18.5">
      <c r="A204" s="678"/>
      <c r="B204" s="752"/>
      <c r="C204" s="753"/>
      <c r="D204" s="754"/>
      <c r="E204" s="755"/>
      <c r="F204" s="756"/>
      <c r="G204" s="159"/>
    </row>
    <row r="205" spans="1:7" s="101" customFormat="1" ht="18.5">
      <c r="A205" s="678"/>
      <c r="B205" s="752"/>
      <c r="C205" s="753"/>
      <c r="D205" s="754"/>
      <c r="E205" s="755"/>
      <c r="F205" s="756"/>
      <c r="G205" s="159"/>
    </row>
    <row r="206" spans="1:7" s="101" customFormat="1" ht="18.5">
      <c r="A206" s="678"/>
      <c r="B206" s="752"/>
      <c r="C206" s="753"/>
      <c r="D206" s="754"/>
      <c r="E206" s="755"/>
      <c r="F206" s="756"/>
      <c r="G206" s="159"/>
    </row>
    <row r="207" spans="1:7" ht="15.5">
      <c r="A207" s="662"/>
      <c r="B207" s="663"/>
      <c r="C207" s="664"/>
      <c r="D207" s="665"/>
      <c r="E207" s="666"/>
      <c r="F207" s="66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215"/>
  <sheetViews>
    <sheetView view="pageBreakPreview" zoomScale="112" zoomScaleNormal="100" zoomScaleSheetLayoutView="112" workbookViewId="0">
      <pane xSplit="1" ySplit="3" topLeftCell="B4" activePane="bottomRight" state="frozen"/>
      <selection pane="topRight" activeCell="B1" sqref="B1"/>
      <selection pane="bottomLeft" activeCell="A4" sqref="A4"/>
      <selection pane="bottomRight" activeCell="B13" sqref="B13"/>
    </sheetView>
  </sheetViews>
  <sheetFormatPr defaultColWidth="9.08984375" defaultRowHeight="14.5"/>
  <cols>
    <col min="1" max="1" width="7" style="172" bestFit="1" customWidth="1"/>
    <col min="2" max="2" width="50.36328125" style="135" customWidth="1"/>
    <col min="3" max="3" width="5.453125" style="133" bestFit="1" customWidth="1"/>
    <col min="4" max="4" width="6.6328125" style="134" bestFit="1" customWidth="1"/>
    <col min="5" max="5" width="7.08984375" style="136" bestFit="1" customWidth="1"/>
    <col min="6" max="6" width="13.90625" style="173" bestFit="1" customWidth="1"/>
    <col min="7" max="7" width="12.6328125" style="129" bestFit="1" customWidth="1"/>
    <col min="8" max="17" width="9.08984375" style="103"/>
    <col min="18" max="18" width="6.08984375" style="103" customWidth="1"/>
    <col min="19" max="16384" width="9.08984375" style="103"/>
  </cols>
  <sheetData>
    <row r="1" spans="1:7">
      <c r="A1" s="668" t="s">
        <v>0</v>
      </c>
      <c r="B1" s="669" t="s">
        <v>1</v>
      </c>
      <c r="C1" s="592" t="s">
        <v>2</v>
      </c>
      <c r="D1" s="593" t="s">
        <v>426</v>
      </c>
      <c r="E1" s="594" t="s">
        <v>368</v>
      </c>
      <c r="F1" s="595" t="s">
        <v>472</v>
      </c>
      <c r="G1" s="186"/>
    </row>
    <row r="2" spans="1:7" s="11" customFormat="1">
      <c r="A2" s="670"/>
      <c r="B2" s="584" t="str">
        <f>'1 Preliminaries'!B2</f>
        <v>PROPOSED WOMEN TRANSITION CENTER - KISMAYU</v>
      </c>
      <c r="C2" s="671"/>
      <c r="D2" s="672"/>
      <c r="E2" s="607"/>
      <c r="F2" s="587"/>
      <c r="G2" s="131"/>
    </row>
    <row r="3" spans="1:7" s="101" customFormat="1" ht="18" customHeight="1">
      <c r="A3" s="673">
        <v>6</v>
      </c>
      <c r="B3" s="674" t="s">
        <v>1230</v>
      </c>
      <c r="C3" s="648"/>
      <c r="D3" s="617"/>
      <c r="E3" s="618"/>
      <c r="F3" s="675"/>
      <c r="G3" s="159"/>
    </row>
    <row r="4" spans="1:7" s="11" customFormat="1">
      <c r="A4" s="676">
        <v>6.1</v>
      </c>
      <c r="B4" s="584" t="s">
        <v>437</v>
      </c>
      <c r="C4" s="597"/>
      <c r="D4" s="606"/>
      <c r="E4" s="586"/>
      <c r="F4" s="612"/>
      <c r="G4" s="131"/>
    </row>
    <row r="5" spans="1:7" s="11" customFormat="1">
      <c r="A5" s="677" t="s">
        <v>1400</v>
      </c>
      <c r="B5" s="590" t="s">
        <v>144</v>
      </c>
      <c r="C5" s="617" t="s">
        <v>33</v>
      </c>
      <c r="D5" s="606">
        <v>125</v>
      </c>
      <c r="E5" s="586"/>
      <c r="F5" s="612">
        <f>D5*E5</f>
        <v>0</v>
      </c>
      <c r="G5" s="131"/>
    </row>
    <row r="6" spans="1:7" s="11" customFormat="1">
      <c r="A6" s="677" t="s">
        <v>34</v>
      </c>
      <c r="B6" s="590" t="s">
        <v>145</v>
      </c>
      <c r="C6" s="597"/>
      <c r="D6" s="606"/>
      <c r="E6" s="586"/>
      <c r="F6" s="612">
        <f t="shared" ref="F6:F19" si="0">D6*E6</f>
        <v>0</v>
      </c>
      <c r="G6" s="131"/>
    </row>
    <row r="7" spans="1:7" s="11" customFormat="1" ht="29">
      <c r="A7" s="677" t="s">
        <v>1401</v>
      </c>
      <c r="B7" s="590" t="s">
        <v>438</v>
      </c>
      <c r="C7" s="617" t="s">
        <v>33</v>
      </c>
      <c r="D7" s="606">
        <f>D5</f>
        <v>125</v>
      </c>
      <c r="E7" s="586"/>
      <c r="F7" s="612">
        <f t="shared" si="0"/>
        <v>0</v>
      </c>
      <c r="G7" s="131"/>
    </row>
    <row r="8" spans="1:7" s="159" customFormat="1" ht="29">
      <c r="A8" s="615" t="s">
        <v>1402</v>
      </c>
      <c r="B8" s="616" t="s">
        <v>1051</v>
      </c>
      <c r="C8" s="617" t="s">
        <v>1050</v>
      </c>
      <c r="D8" s="617">
        <v>16</v>
      </c>
      <c r="E8" s="618"/>
      <c r="F8" s="619">
        <f t="shared" si="0"/>
        <v>0</v>
      </c>
    </row>
    <row r="9" spans="1:7" s="159" customFormat="1" ht="16.5">
      <c r="A9" s="677" t="s">
        <v>1403</v>
      </c>
      <c r="B9" s="616" t="s">
        <v>1257</v>
      </c>
      <c r="C9" s="617" t="s">
        <v>842</v>
      </c>
      <c r="D9" s="617">
        <v>11</v>
      </c>
      <c r="E9" s="618"/>
      <c r="F9" s="619">
        <f t="shared" si="0"/>
        <v>0</v>
      </c>
    </row>
    <row r="10" spans="1:7" s="137" customFormat="1">
      <c r="A10" s="678"/>
      <c r="B10" s="674" t="s">
        <v>30</v>
      </c>
      <c r="C10" s="648"/>
      <c r="D10" s="617"/>
      <c r="E10" s="618"/>
      <c r="F10" s="679"/>
      <c r="G10" s="163"/>
    </row>
    <row r="11" spans="1:7" s="11" customFormat="1" ht="29">
      <c r="A11" s="680" t="s">
        <v>1404</v>
      </c>
      <c r="B11" s="590" t="s">
        <v>448</v>
      </c>
      <c r="C11" s="617" t="s">
        <v>33</v>
      </c>
      <c r="D11" s="606">
        <f>D7</f>
        <v>125</v>
      </c>
      <c r="E11" s="586"/>
      <c r="F11" s="612">
        <f t="shared" si="0"/>
        <v>0</v>
      </c>
      <c r="G11" s="131"/>
    </row>
    <row r="12" spans="1:7" s="11" customFormat="1" ht="29">
      <c r="A12" s="677" t="s">
        <v>1405</v>
      </c>
      <c r="B12" s="590" t="s">
        <v>367</v>
      </c>
      <c r="C12" s="617" t="s">
        <v>33</v>
      </c>
      <c r="D12" s="606">
        <f>D11</f>
        <v>125</v>
      </c>
      <c r="E12" s="586"/>
      <c r="F12" s="612">
        <f t="shared" si="0"/>
        <v>0</v>
      </c>
      <c r="G12" s="131"/>
    </row>
    <row r="13" spans="1:7" s="11" customFormat="1">
      <c r="A13" s="677"/>
      <c r="B13" s="584" t="s">
        <v>35</v>
      </c>
      <c r="C13" s="597"/>
      <c r="D13" s="606"/>
      <c r="E13" s="586"/>
      <c r="F13" s="612">
        <f>D13*E13</f>
        <v>0</v>
      </c>
      <c r="G13" s="131"/>
    </row>
    <row r="14" spans="1:7" s="11" customFormat="1" ht="43.5">
      <c r="A14" s="677" t="s">
        <v>1406</v>
      </c>
      <c r="B14" s="590" t="s">
        <v>593</v>
      </c>
      <c r="C14" s="617" t="s">
        <v>33</v>
      </c>
      <c r="D14" s="606">
        <f>D12</f>
        <v>125</v>
      </c>
      <c r="E14" s="586"/>
      <c r="F14" s="612">
        <f>D14*E14</f>
        <v>0</v>
      </c>
      <c r="G14" s="131"/>
    </row>
    <row r="15" spans="1:7" s="11" customFormat="1">
      <c r="A15" s="677"/>
      <c r="B15" s="584" t="s">
        <v>38</v>
      </c>
      <c r="C15" s="597"/>
      <c r="D15" s="606"/>
      <c r="E15" s="586"/>
      <c r="F15" s="612">
        <f>D15*E15</f>
        <v>0</v>
      </c>
      <c r="G15" s="131"/>
    </row>
    <row r="16" spans="1:7" s="11" customFormat="1" ht="43.5">
      <c r="A16" s="677" t="s">
        <v>1407</v>
      </c>
      <c r="B16" s="590" t="s">
        <v>594</v>
      </c>
      <c r="C16" s="617" t="s">
        <v>33</v>
      </c>
      <c r="D16" s="606">
        <f>D14</f>
        <v>125</v>
      </c>
      <c r="E16" s="586"/>
      <c r="F16" s="612">
        <f>D16*E16</f>
        <v>0</v>
      </c>
      <c r="G16" s="131"/>
    </row>
    <row r="17" spans="1:7" s="11" customFormat="1">
      <c r="A17" s="677"/>
      <c r="B17" s="584" t="s">
        <v>443</v>
      </c>
      <c r="C17" s="597"/>
      <c r="D17" s="606"/>
      <c r="E17" s="586"/>
      <c r="F17" s="612">
        <f t="shared" si="0"/>
        <v>0</v>
      </c>
      <c r="G17" s="131"/>
    </row>
    <row r="18" spans="1:7" s="11" customFormat="1">
      <c r="A18" s="677" t="s">
        <v>1408</v>
      </c>
      <c r="B18" s="590" t="s">
        <v>444</v>
      </c>
      <c r="C18" s="617" t="s">
        <v>50</v>
      </c>
      <c r="D18" s="606">
        <v>40</v>
      </c>
      <c r="E18" s="586"/>
      <c r="F18" s="612">
        <f t="shared" si="0"/>
        <v>0</v>
      </c>
      <c r="G18" s="131"/>
    </row>
    <row r="19" spans="1:7" s="11" customFormat="1">
      <c r="A19" s="677"/>
      <c r="B19" s="584" t="s">
        <v>446</v>
      </c>
      <c r="C19" s="606"/>
      <c r="D19" s="606"/>
      <c r="E19" s="586"/>
      <c r="F19" s="612">
        <f t="shared" si="0"/>
        <v>0</v>
      </c>
      <c r="G19" s="131"/>
    </row>
    <row r="20" spans="1:7" s="644" customFormat="1" ht="43.5">
      <c r="A20" s="681"/>
      <c r="B20" s="649" t="s">
        <v>1053</v>
      </c>
      <c r="C20" s="648"/>
      <c r="D20" s="617"/>
      <c r="E20" s="648"/>
      <c r="F20" s="682"/>
    </row>
    <row r="21" spans="1:7" s="644" customFormat="1">
      <c r="A21" s="681"/>
      <c r="B21" s="674" t="s">
        <v>1058</v>
      </c>
      <c r="C21" s="648"/>
      <c r="D21" s="617"/>
      <c r="E21" s="648"/>
      <c r="F21" s="682"/>
    </row>
    <row r="22" spans="1:7" s="644" customFormat="1">
      <c r="A22" s="681" t="s">
        <v>1440</v>
      </c>
      <c r="B22" s="616" t="s">
        <v>1054</v>
      </c>
      <c r="C22" s="648" t="s">
        <v>19</v>
      </c>
      <c r="D22" s="617">
        <v>85</v>
      </c>
      <c r="E22" s="648"/>
      <c r="F22" s="682">
        <f>E22*G23</f>
        <v>0</v>
      </c>
    </row>
    <row r="23" spans="1:7" s="644" customFormat="1">
      <c r="A23" s="681" t="s">
        <v>1409</v>
      </c>
      <c r="B23" s="616" t="s">
        <v>1055</v>
      </c>
      <c r="C23" s="648" t="s">
        <v>19</v>
      </c>
      <c r="D23" s="617">
        <v>220</v>
      </c>
      <c r="E23" s="648"/>
      <c r="F23" s="682">
        <f>E23*D23</f>
        <v>0</v>
      </c>
      <c r="G23" s="661"/>
    </row>
    <row r="24" spans="1:7" s="644" customFormat="1">
      <c r="A24" s="681"/>
      <c r="B24" s="674" t="s">
        <v>1062</v>
      </c>
      <c r="C24" s="648"/>
      <c r="D24" s="617"/>
      <c r="E24" s="648"/>
      <c r="F24" s="682"/>
      <c r="G24" s="646"/>
    </row>
    <row r="25" spans="1:7" s="644" customFormat="1">
      <c r="A25" s="681" t="s">
        <v>1410</v>
      </c>
      <c r="B25" s="616" t="s">
        <v>1054</v>
      </c>
      <c r="C25" s="648" t="s">
        <v>879</v>
      </c>
      <c r="D25" s="617">
        <v>280</v>
      </c>
      <c r="E25" s="648"/>
      <c r="F25" s="682">
        <f t="shared" ref="F25:F29" si="1">E25*D25</f>
        <v>0</v>
      </c>
    </row>
    <row r="26" spans="1:7" s="644" customFormat="1">
      <c r="A26" s="681" t="s">
        <v>1411</v>
      </c>
      <c r="B26" s="616" t="s">
        <v>1055</v>
      </c>
      <c r="C26" s="648" t="s">
        <v>879</v>
      </c>
      <c r="D26" s="617">
        <v>280</v>
      </c>
      <c r="E26" s="648"/>
      <c r="F26" s="682">
        <f t="shared" si="1"/>
        <v>0</v>
      </c>
      <c r="G26" s="661"/>
    </row>
    <row r="27" spans="1:7" s="644" customFormat="1">
      <c r="A27" s="681"/>
      <c r="B27" s="635" t="s">
        <v>1256</v>
      </c>
      <c r="C27" s="648"/>
      <c r="D27" s="617"/>
      <c r="E27" s="648"/>
      <c r="F27" s="682"/>
      <c r="G27" s="646"/>
    </row>
    <row r="28" spans="1:7" s="644" customFormat="1">
      <c r="A28" s="681" t="s">
        <v>1412</v>
      </c>
      <c r="B28" s="616" t="s">
        <v>1054</v>
      </c>
      <c r="C28" s="648" t="s">
        <v>19</v>
      </c>
      <c r="D28" s="617">
        <v>45</v>
      </c>
      <c r="E28" s="648"/>
      <c r="F28" s="682">
        <f t="shared" si="1"/>
        <v>0</v>
      </c>
      <c r="G28" s="646"/>
    </row>
    <row r="29" spans="1:7" s="644" customFormat="1">
      <c r="A29" s="681" t="s">
        <v>1413</v>
      </c>
      <c r="B29" s="616" t="s">
        <v>1055</v>
      </c>
      <c r="C29" s="648" t="s">
        <v>19</v>
      </c>
      <c r="D29" s="617">
        <v>205</v>
      </c>
      <c r="E29" s="648"/>
      <c r="F29" s="682">
        <f t="shared" si="1"/>
        <v>0</v>
      </c>
    </row>
    <row r="30" spans="1:7" s="644" customFormat="1">
      <c r="A30" s="681"/>
      <c r="B30" s="635" t="s">
        <v>1259</v>
      </c>
      <c r="C30" s="648"/>
      <c r="D30" s="617"/>
      <c r="E30" s="648"/>
      <c r="F30" s="682"/>
    </row>
    <row r="31" spans="1:7" s="159" customFormat="1" ht="29">
      <c r="A31" s="681" t="s">
        <v>1414</v>
      </c>
      <c r="B31" s="616" t="s">
        <v>447</v>
      </c>
      <c r="C31" s="617" t="s">
        <v>588</v>
      </c>
      <c r="D31" s="617">
        <f>D16</f>
        <v>125</v>
      </c>
      <c r="E31" s="618"/>
      <c r="F31" s="619">
        <f>D31*E31</f>
        <v>0</v>
      </c>
    </row>
    <row r="32" spans="1:7" s="159" customFormat="1">
      <c r="A32" s="681"/>
      <c r="B32" s="616"/>
      <c r="C32" s="617"/>
      <c r="D32" s="617"/>
      <c r="E32" s="618"/>
      <c r="F32" s="619"/>
    </row>
    <row r="33" spans="1:7" s="159" customFormat="1">
      <c r="A33" s="681"/>
      <c r="B33" s="616"/>
      <c r="C33" s="617"/>
      <c r="D33" s="617"/>
      <c r="E33" s="618"/>
      <c r="F33" s="619"/>
    </row>
    <row r="34" spans="1:7" s="159" customFormat="1">
      <c r="A34" s="681"/>
      <c r="B34" s="616"/>
      <c r="C34" s="617"/>
      <c r="D34" s="617"/>
      <c r="E34" s="618"/>
      <c r="F34" s="619"/>
    </row>
    <row r="35" spans="1:7" s="658" customFormat="1">
      <c r="A35" s="690"/>
      <c r="B35" s="635" t="s">
        <v>1323</v>
      </c>
      <c r="C35" s="639"/>
      <c r="D35" s="715"/>
      <c r="E35" s="639"/>
      <c r="F35" s="689">
        <f>SUM(F2:F31)</f>
        <v>0</v>
      </c>
    </row>
    <row r="36" spans="1:7">
      <c r="A36" s="668" t="s">
        <v>0</v>
      </c>
      <c r="B36" s="669" t="s">
        <v>1</v>
      </c>
      <c r="C36" s="592" t="s">
        <v>2</v>
      </c>
      <c r="D36" s="593" t="s">
        <v>426</v>
      </c>
      <c r="E36" s="594" t="s">
        <v>368</v>
      </c>
      <c r="F36" s="595" t="s">
        <v>472</v>
      </c>
      <c r="G36" s="186"/>
    </row>
    <row r="37" spans="1:7" s="11" customFormat="1">
      <c r="A37" s="668"/>
      <c r="B37" s="669" t="s">
        <v>1324</v>
      </c>
      <c r="C37" s="592"/>
      <c r="D37" s="593"/>
      <c r="E37" s="594"/>
      <c r="F37" s="595">
        <f>F35</f>
        <v>0</v>
      </c>
      <c r="G37" s="131"/>
    </row>
    <row r="38" spans="1:7" s="159" customFormat="1">
      <c r="A38" s="615"/>
      <c r="B38" s="635" t="s">
        <v>440</v>
      </c>
      <c r="C38" s="648"/>
      <c r="D38" s="617"/>
      <c r="E38" s="618"/>
      <c r="F38" s="619"/>
    </row>
    <row r="39" spans="1:7" s="159" customFormat="1" ht="29">
      <c r="A39" s="615"/>
      <c r="B39" s="649" t="s">
        <v>236</v>
      </c>
      <c r="C39" s="648"/>
      <c r="D39" s="617"/>
      <c r="E39" s="618"/>
      <c r="F39" s="619">
        <f>D39*E39</f>
        <v>0</v>
      </c>
    </row>
    <row r="40" spans="1:7" s="159" customFormat="1" ht="16.5">
      <c r="A40" s="615" t="s">
        <v>1415</v>
      </c>
      <c r="B40" s="616" t="s">
        <v>1256</v>
      </c>
      <c r="C40" s="617" t="s">
        <v>842</v>
      </c>
      <c r="D40" s="617">
        <v>5</v>
      </c>
      <c r="E40" s="618"/>
      <c r="F40" s="619">
        <f>D40*E40</f>
        <v>0</v>
      </c>
    </row>
    <row r="41" spans="1:7" s="159" customFormat="1" ht="16.5">
      <c r="A41" s="615" t="s">
        <v>1456</v>
      </c>
      <c r="B41" s="616" t="s">
        <v>442</v>
      </c>
      <c r="C41" s="617" t="s">
        <v>608</v>
      </c>
      <c r="D41" s="617">
        <f>D31*0.15</f>
        <v>18.75</v>
      </c>
      <c r="E41" s="618"/>
      <c r="F41" s="619">
        <f>D41*E41</f>
        <v>0</v>
      </c>
    </row>
    <row r="42" spans="1:7" s="159" customFormat="1">
      <c r="A42" s="615" t="s">
        <v>1457</v>
      </c>
      <c r="B42" s="616" t="s">
        <v>1058</v>
      </c>
      <c r="C42" s="617" t="s">
        <v>1059</v>
      </c>
      <c r="D42" s="617">
        <f>(14.5*2+8.5*4)*0.3</f>
        <v>18.899999999999999</v>
      </c>
      <c r="E42" s="618"/>
      <c r="F42" s="619">
        <f t="shared" ref="F42:F43" si="2">D42*E42</f>
        <v>0</v>
      </c>
    </row>
    <row r="43" spans="1:7" s="159" customFormat="1">
      <c r="A43" s="615" t="s">
        <v>1458</v>
      </c>
      <c r="B43" s="616" t="s">
        <v>1061</v>
      </c>
      <c r="C43" s="617" t="s">
        <v>1059</v>
      </c>
      <c r="D43" s="617">
        <v>11</v>
      </c>
      <c r="E43" s="618"/>
      <c r="F43" s="619">
        <f t="shared" si="2"/>
        <v>0</v>
      </c>
    </row>
    <row r="44" spans="1:7" s="159" customFormat="1">
      <c r="A44" s="615"/>
      <c r="B44" s="635" t="s">
        <v>1262</v>
      </c>
      <c r="C44" s="617"/>
      <c r="D44" s="617"/>
      <c r="E44" s="618"/>
      <c r="F44" s="619"/>
    </row>
    <row r="45" spans="1:7" s="159" customFormat="1" ht="29">
      <c r="A45" s="615" t="s">
        <v>1459</v>
      </c>
      <c r="B45" s="616" t="s">
        <v>1052</v>
      </c>
      <c r="C45" s="617" t="s">
        <v>588</v>
      </c>
      <c r="D45" s="617">
        <v>60</v>
      </c>
      <c r="E45" s="618"/>
      <c r="F45" s="619">
        <f>D45*E45</f>
        <v>0</v>
      </c>
    </row>
    <row r="46" spans="1:7" s="132" customFormat="1">
      <c r="A46" s="676"/>
      <c r="B46" s="599" t="s">
        <v>1191</v>
      </c>
      <c r="C46" s="613"/>
      <c r="D46" s="613"/>
      <c r="E46" s="602"/>
      <c r="F46" s="605">
        <f>SUM(F37:F45)</f>
        <v>0</v>
      </c>
    </row>
    <row r="47" spans="1:7" s="132" customFormat="1">
      <c r="A47" s="676"/>
      <c r="B47" s="599"/>
      <c r="C47" s="613"/>
      <c r="D47" s="613"/>
      <c r="E47" s="602"/>
      <c r="F47" s="605"/>
    </row>
    <row r="48" spans="1:7" s="101" customFormat="1" ht="18" customHeight="1">
      <c r="A48" s="673">
        <v>6</v>
      </c>
      <c r="B48" s="674" t="s">
        <v>1230</v>
      </c>
      <c r="C48" s="648"/>
      <c r="D48" s="617"/>
      <c r="E48" s="618"/>
      <c r="F48" s="675"/>
      <c r="G48" s="159"/>
    </row>
    <row r="49" spans="1:7" s="652" customFormat="1">
      <c r="A49" s="634">
        <v>6.2</v>
      </c>
      <c r="B49" s="674" t="s">
        <v>1063</v>
      </c>
      <c r="C49" s="648"/>
      <c r="D49" s="617"/>
      <c r="E49" s="618"/>
      <c r="F49" s="683"/>
    </row>
    <row r="50" spans="1:7" s="644" customFormat="1">
      <c r="A50" s="681"/>
      <c r="B50" s="649" t="s">
        <v>1064</v>
      </c>
      <c r="C50" s="648"/>
      <c r="D50" s="617"/>
      <c r="E50" s="648"/>
      <c r="F50" s="682"/>
    </row>
    <row r="51" spans="1:7" s="655" customFormat="1">
      <c r="A51" s="758" t="s">
        <v>1460</v>
      </c>
      <c r="B51" s="685" t="s">
        <v>1065</v>
      </c>
      <c r="C51" s="686" t="s">
        <v>425</v>
      </c>
      <c r="D51" s="617">
        <v>11</v>
      </c>
      <c r="E51" s="686"/>
      <c r="F51" s="687">
        <f>E51*D51</f>
        <v>0</v>
      </c>
    </row>
    <row r="52" spans="1:7" s="159" customFormat="1" ht="16.5">
      <c r="A52" s="615" t="s">
        <v>1461</v>
      </c>
      <c r="B52" s="616" t="s">
        <v>1251</v>
      </c>
      <c r="C52" s="617" t="s">
        <v>608</v>
      </c>
      <c r="D52" s="617">
        <f>D31*0.15</f>
        <v>18.75</v>
      </c>
      <c r="E52" s="618"/>
      <c r="F52" s="619">
        <f>D52*E52</f>
        <v>0</v>
      </c>
    </row>
    <row r="53" spans="1:7" s="644" customFormat="1" ht="17.399999999999999" customHeight="1">
      <c r="A53" s="681"/>
      <c r="B53" s="649" t="s">
        <v>771</v>
      </c>
      <c r="C53" s="648"/>
      <c r="D53" s="617"/>
      <c r="E53" s="648"/>
      <c r="F53" s="682"/>
    </row>
    <row r="54" spans="1:7" s="644" customFormat="1">
      <c r="A54" s="681"/>
      <c r="B54" s="649" t="s">
        <v>772</v>
      </c>
      <c r="C54" s="648"/>
      <c r="D54" s="617"/>
      <c r="E54" s="648"/>
      <c r="F54" s="682"/>
    </row>
    <row r="55" spans="1:7" s="644" customFormat="1">
      <c r="A55" s="681" t="s">
        <v>1462</v>
      </c>
      <c r="B55" s="616" t="s">
        <v>1066</v>
      </c>
      <c r="C55" s="648" t="s">
        <v>19</v>
      </c>
      <c r="D55" s="617">
        <v>350</v>
      </c>
      <c r="E55" s="648"/>
      <c r="F55" s="682">
        <f>E55*D55</f>
        <v>0</v>
      </c>
    </row>
    <row r="56" spans="1:7" s="644" customFormat="1">
      <c r="A56" s="681" t="s">
        <v>1463</v>
      </c>
      <c r="B56" s="616" t="s">
        <v>1067</v>
      </c>
      <c r="C56" s="648" t="s">
        <v>19</v>
      </c>
      <c r="D56" s="617">
        <v>400</v>
      </c>
      <c r="E56" s="648"/>
      <c r="F56" s="682">
        <f>E56*D56</f>
        <v>0</v>
      </c>
      <c r="G56" s="661"/>
    </row>
    <row r="57" spans="1:7" s="644" customFormat="1">
      <c r="A57" s="681"/>
      <c r="B57" s="674" t="s">
        <v>1068</v>
      </c>
      <c r="C57" s="648"/>
      <c r="D57" s="617"/>
      <c r="E57" s="648"/>
      <c r="F57" s="682"/>
    </row>
    <row r="58" spans="1:7" s="644" customFormat="1">
      <c r="A58" s="681" t="s">
        <v>1464</v>
      </c>
      <c r="B58" s="616" t="s">
        <v>1069</v>
      </c>
      <c r="C58" s="648" t="s">
        <v>33</v>
      </c>
      <c r="D58" s="617">
        <v>205</v>
      </c>
      <c r="E58" s="648"/>
      <c r="F58" s="682">
        <f>D58*E58</f>
        <v>0</v>
      </c>
    </row>
    <row r="59" spans="1:7" s="159" customFormat="1">
      <c r="A59" s="615" t="s">
        <v>1465</v>
      </c>
      <c r="B59" s="616" t="s">
        <v>1251</v>
      </c>
      <c r="C59" s="617" t="s">
        <v>33</v>
      </c>
      <c r="D59" s="617">
        <f>D31</f>
        <v>125</v>
      </c>
      <c r="E59" s="618"/>
      <c r="F59" s="619">
        <f>D59*E59</f>
        <v>0</v>
      </c>
    </row>
    <row r="60" spans="1:7" s="658" customFormat="1">
      <c r="A60" s="635"/>
      <c r="B60" s="635" t="s">
        <v>1070</v>
      </c>
      <c r="C60" s="639"/>
      <c r="D60" s="715"/>
      <c r="E60" s="639"/>
      <c r="F60" s="689">
        <f>SUM(F49:F58)</f>
        <v>0</v>
      </c>
    </row>
    <row r="61" spans="1:7" s="658" customFormat="1">
      <c r="A61" s="635"/>
      <c r="B61" s="635"/>
      <c r="C61" s="639"/>
      <c r="D61" s="715"/>
      <c r="E61" s="639"/>
      <c r="F61" s="689"/>
    </row>
    <row r="62" spans="1:7" s="644" customFormat="1">
      <c r="A62" s="690">
        <v>6.3</v>
      </c>
      <c r="B62" s="674" t="s">
        <v>1071</v>
      </c>
      <c r="C62" s="648"/>
      <c r="D62" s="617"/>
      <c r="E62" s="648"/>
      <c r="F62" s="682"/>
    </row>
    <row r="63" spans="1:7" s="644" customFormat="1">
      <c r="A63" s="681"/>
      <c r="B63" s="649" t="s">
        <v>1072</v>
      </c>
      <c r="C63" s="648"/>
      <c r="D63" s="617"/>
      <c r="E63" s="648"/>
      <c r="F63" s="682"/>
    </row>
    <row r="64" spans="1:7" s="644" customFormat="1" ht="29">
      <c r="A64" s="681"/>
      <c r="B64" s="691" t="s">
        <v>1073</v>
      </c>
      <c r="C64" s="648"/>
      <c r="D64" s="617"/>
      <c r="E64" s="648"/>
      <c r="F64" s="682"/>
    </row>
    <row r="65" spans="1:198" s="644" customFormat="1">
      <c r="A65" s="681"/>
      <c r="B65" s="649" t="s">
        <v>52</v>
      </c>
      <c r="C65" s="648"/>
      <c r="D65" s="617"/>
      <c r="E65" s="648"/>
      <c r="F65" s="682"/>
    </row>
    <row r="66" spans="1:198" s="644" customFormat="1">
      <c r="A66" s="681"/>
      <c r="B66" s="649" t="s">
        <v>53</v>
      </c>
      <c r="C66" s="648"/>
      <c r="D66" s="617"/>
      <c r="E66" s="648"/>
      <c r="F66" s="682"/>
    </row>
    <row r="67" spans="1:198" s="644" customFormat="1">
      <c r="A67" s="681"/>
      <c r="B67" s="649" t="s">
        <v>54</v>
      </c>
      <c r="C67" s="648"/>
      <c r="D67" s="617"/>
      <c r="E67" s="648"/>
      <c r="F67" s="682"/>
    </row>
    <row r="68" spans="1:198" s="644" customFormat="1">
      <c r="A68" s="681" t="s">
        <v>1417</v>
      </c>
      <c r="B68" s="616" t="s">
        <v>1074</v>
      </c>
      <c r="C68" s="648" t="s">
        <v>33</v>
      </c>
      <c r="D68" s="761">
        <v>150</v>
      </c>
      <c r="E68" s="648"/>
      <c r="F68" s="682">
        <f>E68*D68</f>
        <v>0</v>
      </c>
    </row>
    <row r="69" spans="1:198" s="644" customFormat="1">
      <c r="A69" s="681" t="s">
        <v>1418</v>
      </c>
      <c r="B69" s="616" t="s">
        <v>1075</v>
      </c>
      <c r="C69" s="648" t="s">
        <v>33</v>
      </c>
      <c r="D69" s="761">
        <v>75</v>
      </c>
      <c r="E69" s="648"/>
      <c r="F69" s="682">
        <f>E69*D69</f>
        <v>0</v>
      </c>
    </row>
    <row r="70" spans="1:198" s="644" customFormat="1">
      <c r="A70" s="681" t="s">
        <v>1419</v>
      </c>
      <c r="B70" s="649" t="s">
        <v>1039</v>
      </c>
      <c r="C70" s="648"/>
      <c r="D70" s="617"/>
      <c r="E70" s="648"/>
      <c r="F70" s="682"/>
    </row>
    <row r="71" spans="1:198" s="644" customFormat="1">
      <c r="A71" s="681" t="s">
        <v>1420</v>
      </c>
      <c r="B71" s="616" t="s">
        <v>1040</v>
      </c>
      <c r="C71" s="648" t="s">
        <v>50</v>
      </c>
      <c r="D71" s="761">
        <v>75</v>
      </c>
      <c r="E71" s="648"/>
      <c r="F71" s="682">
        <f>E71*D71</f>
        <v>0</v>
      </c>
    </row>
    <row r="72" spans="1:198" s="644" customFormat="1">
      <c r="A72" s="681"/>
      <c r="B72" s="616"/>
      <c r="C72" s="648"/>
      <c r="D72" s="761"/>
      <c r="E72" s="648"/>
      <c r="F72" s="682"/>
    </row>
    <row r="73" spans="1:198" s="644" customFormat="1">
      <c r="A73" s="681"/>
      <c r="B73" s="616"/>
      <c r="C73" s="648"/>
      <c r="D73" s="761"/>
      <c r="E73" s="648"/>
      <c r="F73" s="682"/>
    </row>
    <row r="74" spans="1:198" s="644" customFormat="1">
      <c r="A74" s="681"/>
      <c r="B74" s="616"/>
      <c r="C74" s="648"/>
      <c r="D74" s="761"/>
      <c r="E74" s="648"/>
      <c r="F74" s="682"/>
    </row>
    <row r="75" spans="1:198" s="644" customFormat="1">
      <c r="A75" s="1091"/>
      <c r="B75" s="1086"/>
      <c r="C75" s="1074"/>
      <c r="D75" s="1183"/>
      <c r="E75" s="1074"/>
      <c r="F75" s="1093"/>
    </row>
    <row r="76" spans="1:198" s="644" customFormat="1">
      <c r="A76" s="1091"/>
      <c r="B76" s="1086"/>
      <c r="C76" s="1074"/>
      <c r="D76" s="1183"/>
      <c r="E76" s="1074"/>
      <c r="F76" s="1093"/>
    </row>
    <row r="77" spans="1:198" s="644" customFormat="1" ht="29">
      <c r="A77" s="681"/>
      <c r="B77" s="635" t="s">
        <v>1076</v>
      </c>
      <c r="C77" s="639"/>
      <c r="D77" s="617"/>
      <c r="E77" s="648"/>
      <c r="F77" s="689">
        <f>SUM(F63:F71)</f>
        <v>0</v>
      </c>
    </row>
    <row r="78" spans="1:198">
      <c r="A78" s="668" t="s">
        <v>0</v>
      </c>
      <c r="B78" s="669" t="s">
        <v>1</v>
      </c>
      <c r="C78" s="592" t="s">
        <v>2</v>
      </c>
      <c r="D78" s="593" t="s">
        <v>426</v>
      </c>
      <c r="E78" s="594" t="s">
        <v>368</v>
      </c>
      <c r="F78" s="595" t="s">
        <v>472</v>
      </c>
      <c r="G78" s="186"/>
    </row>
    <row r="79" spans="1:198" s="152" customFormat="1" ht="15.5">
      <c r="A79" s="693">
        <v>6.4</v>
      </c>
      <c r="B79" s="698" t="s">
        <v>1584</v>
      </c>
      <c r="C79" s="699"/>
      <c r="D79" s="813"/>
      <c r="E79" s="700"/>
      <c r="F79" s="701"/>
      <c r="G79" s="164"/>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151"/>
      <c r="BY79" s="151"/>
      <c r="BZ79" s="151"/>
      <c r="CA79" s="151"/>
      <c r="CB79" s="151"/>
      <c r="CC79" s="151"/>
      <c r="CD79" s="151"/>
      <c r="CE79" s="151"/>
      <c r="CF79" s="151"/>
      <c r="CG79" s="151"/>
      <c r="CH79" s="151"/>
      <c r="CI79" s="151"/>
      <c r="CJ79" s="151"/>
      <c r="CK79" s="151"/>
      <c r="CL79" s="151"/>
      <c r="CM79" s="151"/>
      <c r="CN79" s="151"/>
      <c r="CO79" s="151"/>
      <c r="CP79" s="151"/>
      <c r="CQ79" s="151"/>
      <c r="CR79" s="151"/>
      <c r="CS79" s="151"/>
      <c r="CT79" s="151"/>
      <c r="CU79" s="151"/>
      <c r="CV79" s="151"/>
      <c r="CW79" s="151"/>
      <c r="CX79" s="151"/>
      <c r="CY79" s="151"/>
      <c r="CZ79" s="151"/>
      <c r="DA79" s="151"/>
      <c r="DB79" s="151"/>
      <c r="DC79" s="151"/>
      <c r="DD79" s="151"/>
      <c r="DE79" s="151"/>
      <c r="DF79" s="151"/>
      <c r="DG79" s="151"/>
      <c r="DH79" s="151"/>
      <c r="DI79" s="151"/>
      <c r="DJ79" s="151"/>
      <c r="DK79" s="151"/>
      <c r="DL79" s="151"/>
      <c r="DM79" s="151"/>
      <c r="DN79" s="151"/>
      <c r="DO79" s="151"/>
      <c r="DP79" s="151"/>
      <c r="DQ79" s="151"/>
      <c r="DR79" s="151"/>
      <c r="DS79" s="151"/>
      <c r="DT79" s="151"/>
      <c r="DU79" s="151"/>
      <c r="DV79" s="151"/>
      <c r="DW79" s="151"/>
      <c r="DX79" s="151"/>
      <c r="DY79" s="151"/>
      <c r="DZ79" s="151"/>
      <c r="EA79" s="151"/>
      <c r="EB79" s="151"/>
      <c r="EC79" s="151"/>
      <c r="ED79" s="151"/>
      <c r="EE79" s="151"/>
      <c r="EF79" s="151"/>
      <c r="EG79" s="151"/>
      <c r="EH79" s="151"/>
      <c r="EI79" s="151"/>
      <c r="EJ79" s="151"/>
      <c r="EK79" s="151"/>
      <c r="EL79" s="151"/>
      <c r="EM79" s="151"/>
      <c r="EN79" s="151"/>
      <c r="EO79" s="151"/>
      <c r="EP79" s="151"/>
      <c r="EQ79" s="151"/>
      <c r="ER79" s="151"/>
      <c r="ES79" s="151"/>
      <c r="ET79" s="151"/>
      <c r="EU79" s="151"/>
      <c r="EV79" s="151"/>
      <c r="EW79" s="151"/>
      <c r="EX79" s="151"/>
      <c r="EY79" s="151"/>
      <c r="EZ79" s="151"/>
      <c r="FA79" s="151"/>
      <c r="FB79" s="151"/>
      <c r="FC79" s="151"/>
      <c r="FD79" s="151"/>
      <c r="FE79" s="151"/>
      <c r="FF79" s="151"/>
      <c r="FG79" s="151"/>
      <c r="FH79" s="151"/>
      <c r="FI79" s="151"/>
      <c r="FJ79" s="151"/>
      <c r="FK79" s="151"/>
      <c r="FL79" s="151"/>
      <c r="FM79" s="151"/>
      <c r="FN79" s="151"/>
      <c r="FO79" s="151"/>
      <c r="FP79" s="151"/>
      <c r="FQ79" s="151"/>
      <c r="FR79" s="151"/>
      <c r="FS79" s="151"/>
      <c r="FT79" s="151"/>
      <c r="FU79" s="151"/>
      <c r="FV79" s="151"/>
      <c r="FW79" s="151"/>
      <c r="FX79" s="151"/>
      <c r="FY79" s="151"/>
      <c r="FZ79" s="151"/>
      <c r="GA79" s="151"/>
      <c r="GB79" s="151"/>
      <c r="GC79" s="151"/>
      <c r="GD79" s="151"/>
      <c r="GE79" s="151"/>
      <c r="GF79" s="151"/>
      <c r="GG79" s="151"/>
      <c r="GH79" s="151"/>
      <c r="GI79" s="151"/>
      <c r="GJ79" s="151"/>
      <c r="GK79" s="151"/>
      <c r="GL79" s="151"/>
      <c r="GM79" s="151"/>
      <c r="GN79" s="151"/>
      <c r="GO79" s="151"/>
      <c r="GP79" s="151"/>
    </row>
    <row r="80" spans="1:198" s="154" customFormat="1" ht="29.4" customHeight="1">
      <c r="A80" s="702" t="s">
        <v>34</v>
      </c>
      <c r="B80" s="703" t="s">
        <v>496</v>
      </c>
      <c r="C80" s="704" t="s">
        <v>34</v>
      </c>
      <c r="D80" s="814"/>
      <c r="E80" s="704"/>
      <c r="F80" s="705"/>
      <c r="G80" s="166"/>
    </row>
    <row r="81" spans="1:198" s="152" customFormat="1" ht="29.4" customHeight="1">
      <c r="A81" s="706" t="s">
        <v>1421</v>
      </c>
      <c r="B81" s="707" t="s">
        <v>497</v>
      </c>
      <c r="C81" s="606" t="s">
        <v>33</v>
      </c>
      <c r="D81" s="606">
        <f>D5*1.4</f>
        <v>175</v>
      </c>
      <c r="E81" s="586"/>
      <c r="F81" s="701">
        <f>D81*E81</f>
        <v>0</v>
      </c>
      <c r="G81" s="164"/>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c r="BJ81" s="151"/>
      <c r="BK81" s="151"/>
      <c r="BL81" s="151"/>
      <c r="BM81" s="151"/>
      <c r="BN81" s="151"/>
      <c r="BO81" s="151"/>
      <c r="BP81" s="151"/>
      <c r="BQ81" s="151"/>
      <c r="BR81" s="151"/>
      <c r="BS81" s="151"/>
      <c r="BT81" s="151"/>
      <c r="BU81" s="151"/>
      <c r="BV81" s="151"/>
      <c r="BW81" s="151"/>
      <c r="BX81" s="151"/>
      <c r="BY81" s="151"/>
      <c r="BZ81" s="151"/>
      <c r="CA81" s="151"/>
      <c r="CB81" s="151"/>
      <c r="CC81" s="151"/>
      <c r="CD81" s="151"/>
      <c r="CE81" s="151"/>
      <c r="CF81" s="151"/>
      <c r="CG81" s="151"/>
      <c r="CH81" s="151"/>
      <c r="CI81" s="151"/>
      <c r="CJ81" s="151"/>
      <c r="CK81" s="151"/>
      <c r="CL81" s="151"/>
      <c r="CM81" s="151"/>
      <c r="CN81" s="151"/>
      <c r="CO81" s="151"/>
      <c r="CP81" s="151"/>
      <c r="CQ81" s="151"/>
      <c r="CR81" s="151"/>
      <c r="CS81" s="151"/>
      <c r="CT81" s="151"/>
      <c r="CU81" s="151"/>
      <c r="CV81" s="151"/>
      <c r="CW81" s="151"/>
      <c r="CX81" s="151"/>
      <c r="CY81" s="151"/>
      <c r="CZ81" s="151"/>
      <c r="DA81" s="151"/>
      <c r="DB81" s="151"/>
      <c r="DC81" s="151"/>
      <c r="DD81" s="151"/>
      <c r="DE81" s="151"/>
      <c r="DF81" s="151"/>
      <c r="DG81" s="151"/>
      <c r="DH81" s="151"/>
      <c r="DI81" s="151"/>
      <c r="DJ81" s="151"/>
      <c r="DK81" s="151"/>
      <c r="DL81" s="151"/>
      <c r="DM81" s="151"/>
      <c r="DN81" s="151"/>
      <c r="DO81" s="151"/>
      <c r="DP81" s="151"/>
      <c r="DQ81" s="151"/>
      <c r="DR81" s="151"/>
      <c r="DS81" s="151"/>
      <c r="DT81" s="151"/>
      <c r="DU81" s="151"/>
      <c r="DV81" s="151"/>
      <c r="DW81" s="151"/>
      <c r="DX81" s="151"/>
      <c r="DY81" s="151"/>
      <c r="DZ81" s="151"/>
      <c r="EA81" s="151"/>
      <c r="EB81" s="151"/>
      <c r="EC81" s="151"/>
      <c r="ED81" s="151"/>
      <c r="EE81" s="151"/>
      <c r="EF81" s="151"/>
      <c r="EG81" s="151"/>
      <c r="EH81" s="151"/>
      <c r="EI81" s="151"/>
      <c r="EJ81" s="151"/>
      <c r="EK81" s="151"/>
      <c r="EL81" s="151"/>
      <c r="EM81" s="151"/>
      <c r="EN81" s="151"/>
      <c r="EO81" s="151"/>
      <c r="EP81" s="151"/>
      <c r="EQ81" s="151"/>
      <c r="ER81" s="151"/>
      <c r="ES81" s="151"/>
      <c r="ET81" s="151"/>
      <c r="EU81" s="151"/>
      <c r="EV81" s="151"/>
      <c r="EW81" s="151"/>
      <c r="EX81" s="151"/>
      <c r="EY81" s="151"/>
      <c r="EZ81" s="151"/>
      <c r="FA81" s="151"/>
      <c r="FB81" s="151"/>
      <c r="FC81" s="151"/>
      <c r="FD81" s="151"/>
      <c r="FE81" s="151"/>
      <c r="FF81" s="151"/>
      <c r="FG81" s="151"/>
      <c r="FH81" s="151"/>
      <c r="FI81" s="151"/>
      <c r="FJ81" s="151"/>
      <c r="FK81" s="151"/>
      <c r="FL81" s="151"/>
      <c r="FM81" s="151"/>
      <c r="FN81" s="151"/>
      <c r="FO81" s="151"/>
      <c r="FP81" s="151"/>
      <c r="FQ81" s="151"/>
      <c r="FR81" s="151"/>
      <c r="FS81" s="151"/>
      <c r="FT81" s="151"/>
      <c r="FU81" s="151"/>
      <c r="FV81" s="151"/>
      <c r="FW81" s="151"/>
      <c r="FX81" s="151"/>
      <c r="FY81" s="151"/>
      <c r="FZ81" s="151"/>
      <c r="GA81" s="151"/>
      <c r="GB81" s="151"/>
      <c r="GC81" s="151"/>
      <c r="GD81" s="151"/>
      <c r="GE81" s="151"/>
      <c r="GF81" s="151"/>
      <c r="GG81" s="151"/>
      <c r="GH81" s="151"/>
      <c r="GI81" s="151"/>
      <c r="GJ81" s="151"/>
      <c r="GK81" s="151"/>
      <c r="GL81" s="151"/>
      <c r="GM81" s="151"/>
      <c r="GN81" s="151"/>
      <c r="GO81" s="151"/>
      <c r="GP81" s="151"/>
    </row>
    <row r="82" spans="1:198" s="154" customFormat="1" ht="19.25" customHeight="1">
      <c r="A82" s="702" t="s">
        <v>1422</v>
      </c>
      <c r="B82" s="704" t="s">
        <v>379</v>
      </c>
      <c r="C82" s="617" t="s">
        <v>50</v>
      </c>
      <c r="D82" s="617">
        <f>25*5</f>
        <v>125</v>
      </c>
      <c r="E82" s="618"/>
      <c r="F82" s="701">
        <f t="shared" ref="F82:F87" si="3">D82*E82</f>
        <v>0</v>
      </c>
      <c r="G82" s="166"/>
    </row>
    <row r="83" spans="1:198" s="154" customFormat="1" ht="19.25" customHeight="1">
      <c r="A83" s="706" t="s">
        <v>1423</v>
      </c>
      <c r="B83" s="704" t="s">
        <v>380</v>
      </c>
      <c r="C83" s="617" t="s">
        <v>50</v>
      </c>
      <c r="D83" s="617">
        <f>(13.4*8)</f>
        <v>107.2</v>
      </c>
      <c r="E83" s="618"/>
      <c r="F83" s="701">
        <f t="shared" si="3"/>
        <v>0</v>
      </c>
      <c r="G83" s="166"/>
    </row>
    <row r="84" spans="1:198" s="154" customFormat="1" ht="19.25" customHeight="1">
      <c r="A84" s="702" t="s">
        <v>1424</v>
      </c>
      <c r="B84" s="704" t="s">
        <v>381</v>
      </c>
      <c r="C84" s="648" t="s">
        <v>50</v>
      </c>
      <c r="D84" s="617">
        <v>70</v>
      </c>
      <c r="E84" s="618"/>
      <c r="F84" s="701">
        <f t="shared" si="3"/>
        <v>0</v>
      </c>
      <c r="G84" s="166"/>
    </row>
    <row r="85" spans="1:198" s="154" customFormat="1" ht="19.25" customHeight="1">
      <c r="A85" s="706" t="s">
        <v>1425</v>
      </c>
      <c r="B85" s="704" t="s">
        <v>382</v>
      </c>
      <c r="C85" s="606" t="s">
        <v>50</v>
      </c>
      <c r="D85" s="606">
        <v>50</v>
      </c>
      <c r="E85" s="586"/>
      <c r="F85" s="701">
        <f t="shared" si="3"/>
        <v>0</v>
      </c>
      <c r="G85" s="166"/>
    </row>
    <row r="86" spans="1:198" s="154" customFormat="1" ht="19.25" customHeight="1">
      <c r="A86" s="702" t="s">
        <v>1426</v>
      </c>
      <c r="B86" s="704" t="s">
        <v>383</v>
      </c>
      <c r="C86" s="606" t="s">
        <v>50</v>
      </c>
      <c r="D86" s="606">
        <v>20</v>
      </c>
      <c r="E86" s="586"/>
      <c r="F86" s="701">
        <f t="shared" si="3"/>
        <v>0</v>
      </c>
      <c r="G86" s="166"/>
    </row>
    <row r="87" spans="1:198" s="154" customFormat="1" ht="19.25" customHeight="1">
      <c r="A87" s="706" t="s">
        <v>1427</v>
      </c>
      <c r="B87" s="704" t="s">
        <v>384</v>
      </c>
      <c r="C87" s="606" t="s">
        <v>50</v>
      </c>
      <c r="D87" s="606">
        <v>6</v>
      </c>
      <c r="E87" s="586"/>
      <c r="F87" s="701">
        <f t="shared" si="3"/>
        <v>0</v>
      </c>
      <c r="G87" s="166"/>
    </row>
    <row r="88" spans="1:198" s="154" customFormat="1" ht="15.5">
      <c r="A88" s="702" t="s">
        <v>34</v>
      </c>
      <c r="B88" s="708" t="s">
        <v>388</v>
      </c>
      <c r="C88" s="704" t="s">
        <v>34</v>
      </c>
      <c r="D88" s="814" t="s">
        <v>34</v>
      </c>
      <c r="E88" s="704"/>
      <c r="F88" s="709"/>
      <c r="G88" s="166"/>
    </row>
    <row r="89" spans="1:198" s="152" customFormat="1" ht="29.4" customHeight="1">
      <c r="A89" s="706" t="s">
        <v>1428</v>
      </c>
      <c r="B89" s="707" t="s">
        <v>522</v>
      </c>
      <c r="C89" s="606" t="s">
        <v>33</v>
      </c>
      <c r="D89" s="606">
        <v>74</v>
      </c>
      <c r="E89" s="586"/>
      <c r="F89" s="612">
        <f>D89*E89</f>
        <v>0</v>
      </c>
      <c r="G89" s="164"/>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c r="GK89" s="151"/>
      <c r="GL89" s="151"/>
      <c r="GM89" s="151"/>
      <c r="GN89" s="151"/>
      <c r="GO89" s="151"/>
      <c r="GP89" s="151"/>
    </row>
    <row r="90" spans="1:198" s="152" customFormat="1" ht="29.4" customHeight="1">
      <c r="A90" s="706" t="s">
        <v>1429</v>
      </c>
      <c r="B90" s="707" t="s">
        <v>495</v>
      </c>
      <c r="C90" s="617" t="s">
        <v>33</v>
      </c>
      <c r="D90" s="617">
        <f>D89</f>
        <v>74</v>
      </c>
      <c r="E90" s="618"/>
      <c r="F90" s="612">
        <f>D90*E90</f>
        <v>0</v>
      </c>
      <c r="G90" s="164"/>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1"/>
      <c r="GK90" s="151"/>
      <c r="GL90" s="151"/>
      <c r="GM90" s="151"/>
      <c r="GN90" s="151"/>
      <c r="GO90" s="151"/>
      <c r="GP90" s="151"/>
    </row>
    <row r="91" spans="1:198" s="154" customFormat="1" ht="15.5">
      <c r="A91" s="702" t="s">
        <v>1441</v>
      </c>
      <c r="B91" s="704" t="s">
        <v>391</v>
      </c>
      <c r="C91" s="617" t="s">
        <v>50</v>
      </c>
      <c r="D91" s="617">
        <v>43</v>
      </c>
      <c r="E91" s="618"/>
      <c r="F91" s="612">
        <f t="shared" ref="F91:F119" si="4">E91*D91</f>
        <v>0</v>
      </c>
      <c r="G91" s="166"/>
    </row>
    <row r="92" spans="1:198" s="154" customFormat="1" ht="15.5">
      <c r="A92" s="800" t="s">
        <v>34</v>
      </c>
      <c r="B92" s="708" t="s">
        <v>395</v>
      </c>
      <c r="C92" s="648" t="s">
        <v>34</v>
      </c>
      <c r="D92" s="617" t="s">
        <v>34</v>
      </c>
      <c r="E92" s="618"/>
      <c r="F92" s="612"/>
      <c r="G92" s="166"/>
    </row>
    <row r="93" spans="1:198" s="154" customFormat="1" ht="29.4" customHeight="1">
      <c r="A93" s="800" t="s">
        <v>1442</v>
      </c>
      <c r="B93" s="704" t="s">
        <v>396</v>
      </c>
      <c r="C93" s="606" t="s">
        <v>50</v>
      </c>
      <c r="D93" s="606">
        <f>D91</f>
        <v>43</v>
      </c>
      <c r="E93" s="586"/>
      <c r="F93" s="612">
        <f t="shared" si="4"/>
        <v>0</v>
      </c>
      <c r="G93" s="166"/>
    </row>
    <row r="94" spans="1:198" s="154" customFormat="1" ht="15.5">
      <c r="A94" s="702" t="s">
        <v>34</v>
      </c>
      <c r="B94" s="708" t="s">
        <v>498</v>
      </c>
      <c r="C94" s="606" t="s">
        <v>34</v>
      </c>
      <c r="D94" s="606" t="s">
        <v>34</v>
      </c>
      <c r="E94" s="586"/>
      <c r="F94" s="612"/>
      <c r="G94" s="166"/>
    </row>
    <row r="95" spans="1:198" s="154" customFormat="1" ht="29.4" customHeight="1">
      <c r="A95" s="702" t="s">
        <v>1443</v>
      </c>
      <c r="B95" s="704" t="s">
        <v>398</v>
      </c>
      <c r="C95" s="606" t="s">
        <v>50</v>
      </c>
      <c r="D95" s="606">
        <v>12</v>
      </c>
      <c r="E95" s="586"/>
      <c r="F95" s="612">
        <f t="shared" si="4"/>
        <v>0</v>
      </c>
      <c r="G95" s="166"/>
    </row>
    <row r="96" spans="1:198" s="154" customFormat="1" ht="19.25" customHeight="1">
      <c r="A96" s="702" t="s">
        <v>1447</v>
      </c>
      <c r="B96" s="704" t="s">
        <v>399</v>
      </c>
      <c r="C96" s="606" t="s">
        <v>387</v>
      </c>
      <c r="D96" s="606">
        <v>4</v>
      </c>
      <c r="E96" s="586"/>
      <c r="F96" s="612">
        <f t="shared" si="4"/>
        <v>0</v>
      </c>
      <c r="G96" s="166"/>
    </row>
    <row r="97" spans="1:198" s="154" customFormat="1" ht="18.649999999999999" customHeight="1">
      <c r="A97" s="702" t="s">
        <v>1448</v>
      </c>
      <c r="B97" s="704" t="s">
        <v>400</v>
      </c>
      <c r="C97" s="617" t="s">
        <v>387</v>
      </c>
      <c r="D97" s="617">
        <f>D96</f>
        <v>4</v>
      </c>
      <c r="E97" s="618"/>
      <c r="F97" s="612">
        <f t="shared" si="4"/>
        <v>0</v>
      </c>
      <c r="G97" s="166"/>
    </row>
    <row r="98" spans="1:198" s="154" customFormat="1" ht="29.4" customHeight="1">
      <c r="A98" s="702" t="s">
        <v>1444</v>
      </c>
      <c r="B98" s="704" t="s">
        <v>401</v>
      </c>
      <c r="C98" s="617" t="s">
        <v>34</v>
      </c>
      <c r="D98" s="617" t="s">
        <v>34</v>
      </c>
      <c r="E98" s="618"/>
      <c r="F98" s="612"/>
      <c r="G98" s="166"/>
    </row>
    <row r="99" spans="1:198" s="154" customFormat="1" ht="15.5">
      <c r="A99" s="702" t="s">
        <v>1445</v>
      </c>
      <c r="B99" s="704" t="s">
        <v>403</v>
      </c>
      <c r="C99" s="648" t="s">
        <v>50</v>
      </c>
      <c r="D99" s="617">
        <f>D93</f>
        <v>43</v>
      </c>
      <c r="E99" s="618"/>
      <c r="F99" s="612">
        <f t="shared" si="4"/>
        <v>0</v>
      </c>
      <c r="G99" s="166"/>
    </row>
    <row r="100" spans="1:198" s="154" customFormat="1" ht="13.75" customHeight="1">
      <c r="A100" s="702" t="s">
        <v>1446</v>
      </c>
      <c r="B100" s="704" t="s">
        <v>404</v>
      </c>
      <c r="C100" s="606" t="s">
        <v>50</v>
      </c>
      <c r="D100" s="606">
        <f>D99</f>
        <v>43</v>
      </c>
      <c r="E100" s="586"/>
      <c r="F100" s="612">
        <f t="shared" si="4"/>
        <v>0</v>
      </c>
      <c r="G100" s="166"/>
    </row>
    <row r="101" spans="1:198" s="155" customFormat="1" ht="15.5">
      <c r="A101" s="711"/>
      <c r="B101" s="708" t="s">
        <v>1198</v>
      </c>
      <c r="C101" s="613"/>
      <c r="D101" s="613"/>
      <c r="E101" s="602"/>
      <c r="F101" s="605">
        <f>SUM(F80:F100)</f>
        <v>0</v>
      </c>
      <c r="G101" s="167"/>
    </row>
    <row r="102" spans="1:198" s="155" customFormat="1" ht="15.5">
      <c r="A102" s="711"/>
      <c r="B102" s="708"/>
      <c r="C102" s="613"/>
      <c r="D102" s="613"/>
      <c r="E102" s="602"/>
      <c r="F102" s="605"/>
      <c r="G102" s="167"/>
    </row>
    <row r="103" spans="1:198" s="152" customFormat="1" ht="15.5">
      <c r="A103" s="712">
        <v>6.5</v>
      </c>
      <c r="B103" s="698" t="s">
        <v>1857</v>
      </c>
      <c r="C103" s="606"/>
      <c r="D103" s="606"/>
      <c r="E103" s="586"/>
      <c r="F103" s="612">
        <f t="shared" si="4"/>
        <v>0</v>
      </c>
      <c r="G103" s="164"/>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c r="BI103" s="151"/>
      <c r="BJ103" s="151"/>
      <c r="BK103" s="151"/>
      <c r="BL103" s="151"/>
      <c r="BM103" s="151"/>
      <c r="BN103" s="151"/>
      <c r="BO103" s="151"/>
      <c r="BP103" s="151"/>
      <c r="BQ103" s="151"/>
      <c r="BR103" s="151"/>
      <c r="BS103" s="151"/>
      <c r="BT103" s="151"/>
      <c r="BU103" s="151"/>
      <c r="BV103" s="151"/>
      <c r="BW103" s="151"/>
      <c r="BX103" s="151"/>
      <c r="BY103" s="151"/>
      <c r="BZ103" s="151"/>
      <c r="CA103" s="151"/>
      <c r="CB103" s="151"/>
      <c r="CC103" s="151"/>
      <c r="CD103" s="151"/>
      <c r="CE103" s="151"/>
      <c r="CF103" s="151"/>
      <c r="CG103" s="151"/>
      <c r="CH103" s="151"/>
      <c r="CI103" s="151"/>
      <c r="CJ103" s="151"/>
      <c r="CK103" s="151"/>
      <c r="CL103" s="151"/>
      <c r="CM103" s="151"/>
      <c r="CN103" s="151"/>
      <c r="CO103" s="151"/>
      <c r="CP103" s="151"/>
      <c r="CQ103" s="151"/>
      <c r="CR103" s="151"/>
      <c r="CS103" s="151"/>
      <c r="CT103" s="151"/>
      <c r="CU103" s="151"/>
      <c r="CV103" s="151"/>
      <c r="CW103" s="151"/>
      <c r="CX103" s="151"/>
      <c r="CY103" s="151"/>
      <c r="CZ103" s="151"/>
      <c r="DA103" s="151"/>
      <c r="DB103" s="151"/>
      <c r="DC103" s="151"/>
      <c r="DD103" s="151"/>
      <c r="DE103" s="151"/>
      <c r="DF103" s="151"/>
      <c r="DG103" s="151"/>
      <c r="DH103" s="151"/>
      <c r="DI103" s="151"/>
      <c r="DJ103" s="151"/>
      <c r="DK103" s="151"/>
      <c r="DL103" s="151"/>
      <c r="DM103" s="151"/>
      <c r="DN103" s="151"/>
      <c r="DO103" s="151"/>
      <c r="DP103" s="151"/>
      <c r="DQ103" s="151"/>
      <c r="DR103" s="151"/>
      <c r="DS103" s="151"/>
      <c r="DT103" s="151"/>
      <c r="DU103" s="151"/>
      <c r="DV103" s="151"/>
      <c r="DW103" s="151"/>
      <c r="DX103" s="151"/>
      <c r="DY103" s="151"/>
      <c r="DZ103" s="151"/>
      <c r="EA103" s="151"/>
      <c r="EB103" s="151"/>
      <c r="EC103" s="151"/>
      <c r="ED103" s="151"/>
      <c r="EE103" s="151"/>
      <c r="EF103" s="151"/>
      <c r="EG103" s="151"/>
      <c r="EH103" s="151"/>
      <c r="EI103" s="151"/>
      <c r="EJ103" s="151"/>
      <c r="EK103" s="151"/>
      <c r="EL103" s="151"/>
      <c r="EM103" s="151"/>
      <c r="EN103" s="151"/>
      <c r="EO103" s="151"/>
      <c r="EP103" s="151"/>
      <c r="EQ103" s="151"/>
      <c r="ER103" s="151"/>
      <c r="ES103" s="151"/>
      <c r="ET103" s="151"/>
      <c r="EU103" s="151"/>
      <c r="EV103" s="151"/>
      <c r="EW103" s="151"/>
      <c r="EX103" s="151"/>
      <c r="EY103" s="151"/>
      <c r="EZ103" s="151"/>
      <c r="FA103" s="151"/>
      <c r="FB103" s="151"/>
      <c r="FC103" s="151"/>
      <c r="FD103" s="151"/>
      <c r="FE103" s="151"/>
      <c r="FF103" s="151"/>
      <c r="FG103" s="151"/>
      <c r="FH103" s="151"/>
      <c r="FI103" s="151"/>
      <c r="FJ103" s="151"/>
      <c r="FK103" s="151"/>
      <c r="FL103" s="151"/>
      <c r="FM103" s="151"/>
      <c r="FN103" s="151"/>
      <c r="FO103" s="151"/>
      <c r="FP103" s="151"/>
      <c r="FQ103" s="151"/>
      <c r="FR103" s="151"/>
      <c r="FS103" s="151"/>
      <c r="FT103" s="151"/>
      <c r="FU103" s="151"/>
      <c r="FV103" s="151"/>
      <c r="FW103" s="151"/>
      <c r="FX103" s="151"/>
      <c r="FY103" s="151"/>
      <c r="FZ103" s="151"/>
      <c r="GA103" s="151"/>
      <c r="GB103" s="151"/>
      <c r="GC103" s="151"/>
      <c r="GD103" s="151"/>
      <c r="GE103" s="151"/>
      <c r="GF103" s="151"/>
      <c r="GG103" s="151"/>
      <c r="GH103" s="151"/>
      <c r="GI103" s="151"/>
      <c r="GJ103" s="151"/>
      <c r="GK103" s="151"/>
      <c r="GL103" s="151"/>
      <c r="GM103" s="151"/>
      <c r="GN103" s="151"/>
      <c r="GO103" s="151"/>
      <c r="GP103" s="151"/>
    </row>
    <row r="104" spans="1:198" s="154" customFormat="1" ht="29.4" customHeight="1">
      <c r="A104" s="713" t="s">
        <v>1430</v>
      </c>
      <c r="B104" s="704" t="s">
        <v>499</v>
      </c>
      <c r="C104" s="606" t="s">
        <v>387</v>
      </c>
      <c r="D104" s="606">
        <v>3</v>
      </c>
      <c r="E104" s="586"/>
      <c r="F104" s="612">
        <f t="shared" si="4"/>
        <v>0</v>
      </c>
      <c r="G104" s="166"/>
    </row>
    <row r="105" spans="1:198" s="154" customFormat="1" ht="29.4" customHeight="1">
      <c r="A105" s="713" t="s">
        <v>1449</v>
      </c>
      <c r="B105" s="704" t="s">
        <v>500</v>
      </c>
      <c r="C105" s="617" t="s">
        <v>50</v>
      </c>
      <c r="D105" s="617">
        <v>15</v>
      </c>
      <c r="E105" s="618"/>
      <c r="F105" s="612">
        <f t="shared" si="4"/>
        <v>0</v>
      </c>
      <c r="G105" s="166"/>
    </row>
    <row r="106" spans="1:198" s="154" customFormat="1" ht="15.5">
      <c r="A106" s="713" t="s">
        <v>1450</v>
      </c>
      <c r="B106" s="704" t="s">
        <v>501</v>
      </c>
      <c r="C106" s="617" t="s">
        <v>50</v>
      </c>
      <c r="D106" s="617">
        <f>D105*2</f>
        <v>30</v>
      </c>
      <c r="E106" s="618"/>
      <c r="F106" s="612">
        <f t="shared" si="4"/>
        <v>0</v>
      </c>
      <c r="G106" s="166"/>
    </row>
    <row r="107" spans="1:198" s="154" customFormat="1" ht="15.5">
      <c r="A107" s="713" t="s">
        <v>1451</v>
      </c>
      <c r="B107" s="704" t="s">
        <v>502</v>
      </c>
      <c r="C107" s="648" t="s">
        <v>50</v>
      </c>
      <c r="D107" s="617">
        <f>D106</f>
        <v>30</v>
      </c>
      <c r="E107" s="618"/>
      <c r="F107" s="612">
        <f t="shared" si="4"/>
        <v>0</v>
      </c>
      <c r="G107" s="166"/>
    </row>
    <row r="108" spans="1:198" s="154" customFormat="1" ht="15.5">
      <c r="A108" s="713" t="s">
        <v>34</v>
      </c>
      <c r="B108" s="708" t="s">
        <v>503</v>
      </c>
      <c r="C108" s="606" t="s">
        <v>34</v>
      </c>
      <c r="D108" s="606" t="s">
        <v>34</v>
      </c>
      <c r="E108" s="586"/>
      <c r="F108" s="612"/>
      <c r="G108" s="166"/>
    </row>
    <row r="109" spans="1:198" s="154" customFormat="1" ht="29.4" customHeight="1">
      <c r="A109" s="713" t="s">
        <v>1451</v>
      </c>
      <c r="B109" s="704" t="s">
        <v>504</v>
      </c>
      <c r="C109" s="606" t="s">
        <v>34</v>
      </c>
      <c r="D109" s="606" t="s">
        <v>34</v>
      </c>
      <c r="E109" s="586"/>
      <c r="F109" s="612"/>
      <c r="G109" s="166"/>
    </row>
    <row r="110" spans="1:198">
      <c r="A110" s="668" t="s">
        <v>0</v>
      </c>
      <c r="B110" s="669" t="s">
        <v>1</v>
      </c>
      <c r="C110" s="592" t="s">
        <v>2</v>
      </c>
      <c r="D110" s="593" t="s">
        <v>426</v>
      </c>
      <c r="E110" s="594" t="s">
        <v>368</v>
      </c>
      <c r="F110" s="595" t="s">
        <v>472</v>
      </c>
      <c r="G110" s="186"/>
    </row>
    <row r="111" spans="1:198" s="154" customFormat="1" ht="15.5">
      <c r="A111" s="713" t="s">
        <v>1452</v>
      </c>
      <c r="B111" s="704" t="s">
        <v>505</v>
      </c>
      <c r="C111" s="606" t="s">
        <v>387</v>
      </c>
      <c r="D111" s="606">
        <f>D104</f>
        <v>3</v>
      </c>
      <c r="E111" s="586"/>
      <c r="F111" s="612">
        <f t="shared" si="4"/>
        <v>0</v>
      </c>
      <c r="G111" s="166"/>
    </row>
    <row r="112" spans="1:198" s="154" customFormat="1" ht="15.5">
      <c r="A112" s="713" t="s">
        <v>1453</v>
      </c>
      <c r="B112" s="704" t="s">
        <v>506</v>
      </c>
      <c r="C112" s="606" t="s">
        <v>507</v>
      </c>
      <c r="D112" s="606">
        <f>CEILING(D104*3/2,1)</f>
        <v>5</v>
      </c>
      <c r="E112" s="586"/>
      <c r="F112" s="612">
        <f t="shared" si="4"/>
        <v>0</v>
      </c>
      <c r="G112" s="166"/>
    </row>
    <row r="113" spans="1:198" s="154" customFormat="1" ht="15.5">
      <c r="A113" s="713" t="s">
        <v>1454</v>
      </c>
      <c r="B113" s="704" t="s">
        <v>508</v>
      </c>
      <c r="C113" s="617" t="s">
        <v>387</v>
      </c>
      <c r="D113" s="617">
        <f>D104</f>
        <v>3</v>
      </c>
      <c r="E113" s="618"/>
      <c r="F113" s="612">
        <f t="shared" si="4"/>
        <v>0</v>
      </c>
      <c r="G113" s="166"/>
    </row>
    <row r="114" spans="1:198" s="154" customFormat="1" ht="15.5">
      <c r="A114" s="713" t="s">
        <v>34</v>
      </c>
      <c r="B114" s="708" t="s">
        <v>509</v>
      </c>
      <c r="C114" s="617" t="s">
        <v>34</v>
      </c>
      <c r="D114" s="617" t="s">
        <v>34</v>
      </c>
      <c r="E114" s="618"/>
      <c r="F114" s="612"/>
      <c r="G114" s="166"/>
    </row>
    <row r="115" spans="1:198" s="154" customFormat="1" ht="29.4" customHeight="1">
      <c r="A115" s="713" t="s">
        <v>1455</v>
      </c>
      <c r="B115" s="704" t="s">
        <v>510</v>
      </c>
      <c r="C115" s="648" t="s">
        <v>146</v>
      </c>
      <c r="D115" s="617" t="s">
        <v>439</v>
      </c>
      <c r="E115" s="618"/>
      <c r="F115" s="612">
        <f>E115</f>
        <v>0</v>
      </c>
      <c r="G115" s="166"/>
    </row>
    <row r="116" spans="1:198" s="155" customFormat="1" ht="15.5">
      <c r="A116" s="714"/>
      <c r="B116" s="703" t="s">
        <v>1224</v>
      </c>
      <c r="C116" s="639"/>
      <c r="D116" s="715"/>
      <c r="E116" s="688"/>
      <c r="F116" s="605">
        <f>SUM(F104:F115)</f>
        <v>0</v>
      </c>
      <c r="G116" s="167"/>
    </row>
    <row r="117" spans="1:198" s="154" customFormat="1" ht="15.5">
      <c r="A117" s="713"/>
      <c r="B117" s="704"/>
      <c r="C117" s="648"/>
      <c r="D117" s="617"/>
      <c r="E117" s="618"/>
      <c r="F117" s="612"/>
      <c r="G117" s="166"/>
    </row>
    <row r="118" spans="1:198" s="150" customFormat="1" ht="15.5">
      <c r="A118" s="693">
        <v>6.6</v>
      </c>
      <c r="B118" s="698" t="s">
        <v>1856</v>
      </c>
      <c r="C118" s="606"/>
      <c r="D118" s="606"/>
      <c r="E118" s="586"/>
      <c r="F118" s="612"/>
      <c r="G118" s="165"/>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3"/>
      <c r="BM118" s="153"/>
      <c r="BN118" s="153"/>
      <c r="BO118" s="153"/>
      <c r="BP118" s="153"/>
      <c r="BQ118" s="153"/>
      <c r="BR118" s="153"/>
      <c r="BS118" s="153"/>
      <c r="BT118" s="153"/>
      <c r="BU118" s="153"/>
      <c r="BV118" s="153"/>
      <c r="BW118" s="153"/>
      <c r="BX118" s="153"/>
      <c r="BY118" s="153"/>
      <c r="BZ118" s="153"/>
      <c r="CA118" s="153"/>
      <c r="CB118" s="153"/>
      <c r="CC118" s="153"/>
      <c r="CD118" s="153"/>
      <c r="CE118" s="153"/>
      <c r="CF118" s="153"/>
      <c r="CG118" s="153"/>
      <c r="CH118" s="153"/>
      <c r="CI118" s="153"/>
      <c r="CJ118" s="153"/>
      <c r="CK118" s="153"/>
      <c r="CL118" s="153"/>
      <c r="CM118" s="153"/>
      <c r="CN118" s="153"/>
      <c r="CO118" s="153"/>
      <c r="CP118" s="153"/>
      <c r="CQ118" s="153"/>
      <c r="CR118" s="153"/>
      <c r="CS118" s="153"/>
      <c r="CT118" s="153"/>
      <c r="CU118" s="153"/>
      <c r="CV118" s="153"/>
      <c r="CW118" s="153"/>
      <c r="CX118" s="153"/>
      <c r="CY118" s="153"/>
      <c r="CZ118" s="153"/>
      <c r="DA118" s="153"/>
      <c r="DB118" s="153"/>
      <c r="DC118" s="153"/>
      <c r="DD118" s="153"/>
      <c r="DE118" s="153"/>
      <c r="DF118" s="153"/>
      <c r="DG118" s="153"/>
      <c r="DH118" s="153"/>
      <c r="DI118" s="153"/>
      <c r="DJ118" s="153"/>
      <c r="DK118" s="153"/>
      <c r="DL118" s="153"/>
      <c r="DM118" s="153"/>
      <c r="DN118" s="153"/>
      <c r="DO118" s="153"/>
      <c r="DP118" s="153"/>
      <c r="DQ118" s="153"/>
      <c r="DR118" s="153"/>
      <c r="DS118" s="153"/>
      <c r="DT118" s="153"/>
      <c r="DU118" s="153"/>
      <c r="DV118" s="153"/>
      <c r="DW118" s="153"/>
      <c r="DX118" s="153"/>
      <c r="DY118" s="153"/>
      <c r="DZ118" s="153"/>
      <c r="EA118" s="153"/>
      <c r="EB118" s="153"/>
      <c r="EC118" s="153"/>
      <c r="ED118" s="153"/>
      <c r="EE118" s="153"/>
      <c r="EF118" s="153"/>
      <c r="EG118" s="153"/>
      <c r="EH118" s="153"/>
      <c r="EI118" s="153"/>
      <c r="EJ118" s="153"/>
      <c r="EK118" s="153"/>
      <c r="EL118" s="153"/>
      <c r="EM118" s="153"/>
      <c r="EN118" s="153"/>
      <c r="EO118" s="153"/>
      <c r="EP118" s="153"/>
      <c r="EQ118" s="153"/>
      <c r="ER118" s="153"/>
      <c r="ES118" s="153"/>
      <c r="ET118" s="153"/>
      <c r="EU118" s="153"/>
      <c r="EV118" s="153"/>
      <c r="EW118" s="153"/>
      <c r="EX118" s="153"/>
      <c r="EY118" s="153"/>
      <c r="EZ118" s="153"/>
      <c r="FA118" s="153"/>
      <c r="FB118" s="153"/>
      <c r="FC118" s="153"/>
      <c r="FD118" s="153"/>
      <c r="FE118" s="153"/>
      <c r="FF118" s="153"/>
      <c r="FG118" s="153"/>
      <c r="FH118" s="153"/>
      <c r="FI118" s="153"/>
      <c r="FJ118" s="153"/>
      <c r="FK118" s="153"/>
      <c r="FL118" s="153"/>
      <c r="FM118" s="153"/>
      <c r="FN118" s="153"/>
      <c r="FO118" s="153"/>
      <c r="FP118" s="153"/>
      <c r="FQ118" s="153"/>
      <c r="FR118" s="153"/>
      <c r="FS118" s="153"/>
      <c r="FT118" s="153"/>
      <c r="FU118" s="153"/>
      <c r="FV118" s="153"/>
      <c r="FW118" s="153"/>
      <c r="FX118" s="153"/>
      <c r="FY118" s="153"/>
      <c r="FZ118" s="153"/>
      <c r="GA118" s="153"/>
      <c r="GB118" s="153"/>
      <c r="GC118" s="153"/>
      <c r="GD118" s="153"/>
      <c r="GE118" s="153"/>
      <c r="GF118" s="153"/>
      <c r="GG118" s="153"/>
      <c r="GH118" s="153"/>
      <c r="GI118" s="153"/>
      <c r="GJ118" s="153"/>
      <c r="GK118" s="153"/>
      <c r="GL118" s="153"/>
      <c r="GM118" s="153"/>
      <c r="GN118" s="153"/>
      <c r="GO118" s="153"/>
      <c r="GP118" s="153"/>
    </row>
    <row r="119" spans="1:198" s="152" customFormat="1" ht="33" customHeight="1">
      <c r="A119" s="706" t="s">
        <v>1416</v>
      </c>
      <c r="B119" s="707" t="s">
        <v>511</v>
      </c>
      <c r="C119" s="606" t="s">
        <v>12</v>
      </c>
      <c r="D119" s="606">
        <v>8</v>
      </c>
      <c r="E119" s="586"/>
      <c r="F119" s="612">
        <f t="shared" si="4"/>
        <v>0</v>
      </c>
      <c r="G119" s="164"/>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c r="BI119" s="151"/>
      <c r="BJ119" s="151"/>
      <c r="BK119" s="151"/>
      <c r="BL119" s="151"/>
      <c r="BM119" s="151"/>
      <c r="BN119" s="151"/>
      <c r="BO119" s="151"/>
      <c r="BP119" s="151"/>
      <c r="BQ119" s="151"/>
      <c r="BR119" s="151"/>
      <c r="BS119" s="151"/>
      <c r="BT119" s="151"/>
      <c r="BU119" s="151"/>
      <c r="BV119" s="151"/>
      <c r="BW119" s="151"/>
      <c r="BX119" s="151"/>
      <c r="BY119" s="151"/>
      <c r="BZ119" s="151"/>
      <c r="CA119" s="151"/>
      <c r="CB119" s="151"/>
      <c r="CC119" s="151"/>
      <c r="CD119" s="151"/>
      <c r="CE119" s="151"/>
      <c r="CF119" s="151"/>
      <c r="CG119" s="151"/>
      <c r="CH119" s="151"/>
      <c r="CI119" s="151"/>
      <c r="CJ119" s="151"/>
      <c r="CK119" s="151"/>
      <c r="CL119" s="151"/>
      <c r="CM119" s="151"/>
      <c r="CN119" s="151"/>
      <c r="CO119" s="151"/>
      <c r="CP119" s="151"/>
      <c r="CQ119" s="151"/>
      <c r="CR119" s="151"/>
      <c r="CS119" s="151"/>
      <c r="CT119" s="151"/>
      <c r="CU119" s="151"/>
      <c r="CV119" s="151"/>
      <c r="CW119" s="151"/>
      <c r="CX119" s="151"/>
      <c r="CY119" s="151"/>
      <c r="CZ119" s="151"/>
      <c r="DA119" s="151"/>
      <c r="DB119" s="151"/>
      <c r="DC119" s="151"/>
      <c r="DD119" s="151"/>
      <c r="DE119" s="151"/>
      <c r="DF119" s="151"/>
      <c r="DG119" s="151"/>
      <c r="DH119" s="151"/>
      <c r="DI119" s="151"/>
      <c r="DJ119" s="151"/>
      <c r="DK119" s="151"/>
      <c r="DL119" s="151"/>
      <c r="DM119" s="151"/>
      <c r="DN119" s="151"/>
      <c r="DO119" s="151"/>
      <c r="DP119" s="151"/>
      <c r="DQ119" s="151"/>
      <c r="DR119" s="151"/>
      <c r="DS119" s="151"/>
      <c r="DT119" s="151"/>
      <c r="DU119" s="151"/>
      <c r="DV119" s="151"/>
      <c r="DW119" s="151"/>
      <c r="DX119" s="151"/>
      <c r="DY119" s="151"/>
      <c r="DZ119" s="151"/>
      <c r="EA119" s="151"/>
      <c r="EB119" s="151"/>
      <c r="EC119" s="151"/>
      <c r="ED119" s="151"/>
      <c r="EE119" s="151"/>
      <c r="EF119" s="151"/>
      <c r="EG119" s="151"/>
      <c r="EH119" s="151"/>
      <c r="EI119" s="151"/>
      <c r="EJ119" s="151"/>
      <c r="EK119" s="151"/>
      <c r="EL119" s="151"/>
      <c r="EM119" s="151"/>
      <c r="EN119" s="151"/>
      <c r="EO119" s="151"/>
      <c r="EP119" s="151"/>
      <c r="EQ119" s="151"/>
      <c r="ER119" s="151"/>
      <c r="ES119" s="151"/>
      <c r="ET119" s="151"/>
      <c r="EU119" s="151"/>
      <c r="EV119" s="151"/>
      <c r="EW119" s="151"/>
      <c r="EX119" s="151"/>
      <c r="EY119" s="151"/>
      <c r="EZ119" s="151"/>
      <c r="FA119" s="151"/>
      <c r="FB119" s="151"/>
      <c r="FC119" s="151"/>
      <c r="FD119" s="151"/>
      <c r="FE119" s="151"/>
      <c r="FF119" s="151"/>
      <c r="FG119" s="151"/>
      <c r="FH119" s="151"/>
      <c r="FI119" s="151"/>
      <c r="FJ119" s="151"/>
      <c r="FK119" s="151"/>
      <c r="FL119" s="151"/>
      <c r="FM119" s="151"/>
      <c r="FN119" s="151"/>
      <c r="FO119" s="151"/>
      <c r="FP119" s="151"/>
      <c r="FQ119" s="151"/>
      <c r="FR119" s="151"/>
      <c r="FS119" s="151"/>
      <c r="FT119" s="151"/>
      <c r="FU119" s="151"/>
      <c r="FV119" s="151"/>
      <c r="FW119" s="151"/>
      <c r="FX119" s="151"/>
      <c r="FY119" s="151"/>
      <c r="FZ119" s="151"/>
      <c r="GA119" s="151"/>
      <c r="GB119" s="151"/>
      <c r="GC119" s="151"/>
      <c r="GD119" s="151"/>
      <c r="GE119" s="151"/>
      <c r="GF119" s="151"/>
      <c r="GG119" s="151"/>
      <c r="GH119" s="151"/>
      <c r="GI119" s="151"/>
      <c r="GJ119" s="151"/>
      <c r="GK119" s="151"/>
      <c r="GL119" s="151"/>
      <c r="GM119" s="151"/>
      <c r="GN119" s="151"/>
      <c r="GO119" s="151"/>
      <c r="GP119" s="151"/>
    </row>
    <row r="120" spans="1:198" s="150" customFormat="1" ht="15.5">
      <c r="A120" s="693"/>
      <c r="B120" s="694" t="s">
        <v>1231</v>
      </c>
      <c r="C120" s="613"/>
      <c r="D120" s="613"/>
      <c r="E120" s="602"/>
      <c r="F120" s="605">
        <f>SUM(F119)</f>
        <v>0</v>
      </c>
      <c r="G120" s="165"/>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153"/>
      <c r="BY120" s="153"/>
      <c r="BZ120" s="153"/>
      <c r="CA120" s="153"/>
      <c r="CB120" s="153"/>
      <c r="CC120" s="153"/>
      <c r="CD120" s="153"/>
      <c r="CE120" s="153"/>
      <c r="CF120" s="153"/>
      <c r="CG120" s="153"/>
      <c r="CH120" s="153"/>
      <c r="CI120" s="153"/>
      <c r="CJ120" s="153"/>
      <c r="CK120" s="153"/>
      <c r="CL120" s="153"/>
      <c r="CM120" s="153"/>
      <c r="CN120" s="153"/>
      <c r="CO120" s="153"/>
      <c r="CP120" s="153"/>
      <c r="CQ120" s="153"/>
      <c r="CR120" s="153"/>
      <c r="CS120" s="153"/>
      <c r="CT120" s="153"/>
      <c r="CU120" s="153"/>
      <c r="CV120" s="153"/>
      <c r="CW120" s="153"/>
      <c r="CX120" s="153"/>
      <c r="CY120" s="153"/>
      <c r="CZ120" s="153"/>
      <c r="DA120" s="153"/>
      <c r="DB120" s="153"/>
      <c r="DC120" s="153"/>
      <c r="DD120" s="153"/>
      <c r="DE120" s="153"/>
      <c r="DF120" s="153"/>
      <c r="DG120" s="153"/>
      <c r="DH120" s="153"/>
      <c r="DI120" s="153"/>
      <c r="DJ120" s="153"/>
      <c r="DK120" s="153"/>
      <c r="DL120" s="153"/>
      <c r="DM120" s="153"/>
      <c r="DN120" s="153"/>
      <c r="DO120" s="153"/>
      <c r="DP120" s="153"/>
      <c r="DQ120" s="153"/>
      <c r="DR120" s="153"/>
      <c r="DS120" s="153"/>
      <c r="DT120" s="153"/>
      <c r="DU120" s="153"/>
      <c r="DV120" s="153"/>
      <c r="DW120" s="153"/>
      <c r="DX120" s="153"/>
      <c r="DY120" s="153"/>
      <c r="DZ120" s="153"/>
      <c r="EA120" s="153"/>
      <c r="EB120" s="153"/>
      <c r="EC120" s="153"/>
      <c r="ED120" s="153"/>
      <c r="EE120" s="153"/>
      <c r="EF120" s="153"/>
      <c r="EG120" s="153"/>
      <c r="EH120" s="153"/>
      <c r="EI120" s="153"/>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c r="FL120" s="153"/>
      <c r="FM120" s="153"/>
      <c r="FN120" s="153"/>
      <c r="FO120" s="153"/>
      <c r="FP120" s="153"/>
      <c r="FQ120" s="153"/>
      <c r="FR120" s="153"/>
      <c r="FS120" s="153"/>
      <c r="FT120" s="153"/>
      <c r="FU120" s="153"/>
      <c r="FV120" s="153"/>
      <c r="FW120" s="153"/>
      <c r="FX120" s="153"/>
      <c r="FY120" s="153"/>
      <c r="FZ120" s="153"/>
      <c r="GA120" s="153"/>
      <c r="GB120" s="153"/>
      <c r="GC120" s="153"/>
      <c r="GD120" s="153"/>
      <c r="GE120" s="153"/>
      <c r="GF120" s="153"/>
      <c r="GG120" s="153"/>
      <c r="GH120" s="153"/>
      <c r="GI120" s="153"/>
      <c r="GJ120" s="153"/>
      <c r="GK120" s="153"/>
      <c r="GL120" s="153"/>
      <c r="GM120" s="153"/>
      <c r="GN120" s="153"/>
      <c r="GO120" s="153"/>
      <c r="GP120" s="153"/>
    </row>
    <row r="121" spans="1:198" s="150" customFormat="1" ht="15.5">
      <c r="A121" s="693"/>
      <c r="B121" s="694"/>
      <c r="C121" s="613"/>
      <c r="D121" s="613"/>
      <c r="E121" s="602"/>
      <c r="F121" s="605"/>
      <c r="G121" s="165"/>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c r="BJ121" s="153"/>
      <c r="BK121" s="153"/>
      <c r="BL121" s="153"/>
      <c r="BM121" s="153"/>
      <c r="BN121" s="153"/>
      <c r="BO121" s="153"/>
      <c r="BP121" s="153"/>
      <c r="BQ121" s="153"/>
      <c r="BR121" s="153"/>
      <c r="BS121" s="153"/>
      <c r="BT121" s="153"/>
      <c r="BU121" s="153"/>
      <c r="BV121" s="153"/>
      <c r="BW121" s="153"/>
      <c r="BX121" s="153"/>
      <c r="BY121" s="153"/>
      <c r="BZ121" s="153"/>
      <c r="CA121" s="153"/>
      <c r="CB121" s="153"/>
      <c r="CC121" s="153"/>
      <c r="CD121" s="153"/>
      <c r="CE121" s="153"/>
      <c r="CF121" s="153"/>
      <c r="CG121" s="153"/>
      <c r="CH121" s="153"/>
      <c r="CI121" s="153"/>
      <c r="CJ121" s="153"/>
      <c r="CK121" s="153"/>
      <c r="CL121" s="153"/>
      <c r="CM121" s="153"/>
      <c r="CN121" s="153"/>
      <c r="CO121" s="153"/>
      <c r="CP121" s="153"/>
      <c r="CQ121" s="153"/>
      <c r="CR121" s="153"/>
      <c r="CS121" s="153"/>
      <c r="CT121" s="153"/>
      <c r="CU121" s="153"/>
      <c r="CV121" s="153"/>
      <c r="CW121" s="153"/>
      <c r="CX121" s="153"/>
      <c r="CY121" s="153"/>
      <c r="CZ121" s="153"/>
      <c r="DA121" s="153"/>
      <c r="DB121" s="153"/>
      <c r="DC121" s="153"/>
      <c r="DD121" s="153"/>
      <c r="DE121" s="153"/>
      <c r="DF121" s="153"/>
      <c r="DG121" s="153"/>
      <c r="DH121" s="153"/>
      <c r="DI121" s="153"/>
      <c r="DJ121" s="153"/>
      <c r="DK121" s="153"/>
      <c r="DL121" s="153"/>
      <c r="DM121" s="153"/>
      <c r="DN121" s="153"/>
      <c r="DO121" s="153"/>
      <c r="DP121" s="153"/>
      <c r="DQ121" s="153"/>
      <c r="DR121" s="153"/>
      <c r="DS121" s="153"/>
      <c r="DT121" s="153"/>
      <c r="DU121" s="153"/>
      <c r="DV121" s="153"/>
      <c r="DW121" s="153"/>
      <c r="DX121" s="153"/>
      <c r="DY121" s="153"/>
      <c r="DZ121" s="153"/>
      <c r="EA121" s="153"/>
      <c r="EB121" s="153"/>
      <c r="EC121" s="153"/>
      <c r="ED121" s="153"/>
      <c r="EE121" s="153"/>
      <c r="EF121" s="153"/>
      <c r="EG121" s="153"/>
      <c r="EH121" s="153"/>
      <c r="EI121" s="153"/>
      <c r="EJ121" s="153"/>
      <c r="EK121" s="153"/>
      <c r="EL121" s="153"/>
      <c r="EM121" s="153"/>
      <c r="EN121" s="153"/>
      <c r="EO121" s="153"/>
      <c r="EP121" s="153"/>
      <c r="EQ121" s="153"/>
      <c r="ER121" s="153"/>
      <c r="ES121" s="153"/>
      <c r="ET121" s="153"/>
      <c r="EU121" s="153"/>
      <c r="EV121" s="153"/>
      <c r="EW121" s="153"/>
      <c r="EX121" s="153"/>
      <c r="EY121" s="153"/>
      <c r="EZ121" s="153"/>
      <c r="FA121" s="153"/>
      <c r="FB121" s="153"/>
      <c r="FC121" s="153"/>
      <c r="FD121" s="153"/>
      <c r="FE121" s="153"/>
      <c r="FF121" s="153"/>
      <c r="FG121" s="153"/>
      <c r="FH121" s="153"/>
      <c r="FI121" s="153"/>
      <c r="FJ121" s="153"/>
      <c r="FK121" s="153"/>
      <c r="FL121" s="153"/>
      <c r="FM121" s="153"/>
      <c r="FN121" s="153"/>
      <c r="FO121" s="153"/>
      <c r="FP121" s="153"/>
      <c r="FQ121" s="153"/>
      <c r="FR121" s="153"/>
      <c r="FS121" s="153"/>
      <c r="FT121" s="153"/>
      <c r="FU121" s="153"/>
      <c r="FV121" s="153"/>
      <c r="FW121" s="153"/>
      <c r="FX121" s="153"/>
      <c r="FY121" s="153"/>
      <c r="FZ121" s="153"/>
      <c r="GA121" s="153"/>
      <c r="GB121" s="153"/>
      <c r="GC121" s="153"/>
      <c r="GD121" s="153"/>
      <c r="GE121" s="153"/>
      <c r="GF121" s="153"/>
      <c r="GG121" s="153"/>
      <c r="GH121" s="153"/>
      <c r="GI121" s="153"/>
      <c r="GJ121" s="153"/>
      <c r="GK121" s="153"/>
      <c r="GL121" s="153"/>
      <c r="GM121" s="153"/>
      <c r="GN121" s="153"/>
      <c r="GO121" s="153"/>
      <c r="GP121" s="153"/>
    </row>
    <row r="122" spans="1:198" s="644" customFormat="1">
      <c r="A122" s="690">
        <v>6.7</v>
      </c>
      <c r="B122" s="674" t="s">
        <v>1077</v>
      </c>
      <c r="C122" s="648"/>
      <c r="D122" s="617"/>
      <c r="E122" s="648"/>
      <c r="F122" s="682"/>
    </row>
    <row r="123" spans="1:198" s="644" customFormat="1">
      <c r="A123" s="681"/>
      <c r="B123" s="649" t="s">
        <v>55</v>
      </c>
      <c r="C123" s="648"/>
      <c r="D123" s="617"/>
      <c r="E123" s="648"/>
      <c r="F123" s="682"/>
    </row>
    <row r="124" spans="1:198" s="644" customFormat="1">
      <c r="A124" s="681"/>
      <c r="B124" s="649" t="s">
        <v>56</v>
      </c>
      <c r="C124" s="648"/>
      <c r="D124" s="617"/>
      <c r="E124" s="648"/>
      <c r="F124" s="682"/>
    </row>
    <row r="125" spans="1:198" s="644" customFormat="1">
      <c r="A125" s="678" t="s">
        <v>1431</v>
      </c>
      <c r="B125" s="616" t="s">
        <v>949</v>
      </c>
      <c r="C125" s="648" t="s">
        <v>33</v>
      </c>
      <c r="D125" s="617">
        <v>74</v>
      </c>
      <c r="E125" s="648"/>
      <c r="F125" s="682">
        <f>E125*D125</f>
        <v>0</v>
      </c>
    </row>
    <row r="126" spans="1:198" s="644" customFormat="1">
      <c r="A126" s="678"/>
      <c r="B126" s="649" t="s">
        <v>1041</v>
      </c>
      <c r="C126" s="648"/>
      <c r="D126" s="617"/>
      <c r="E126" s="648"/>
      <c r="F126" s="682"/>
    </row>
    <row r="127" spans="1:198" s="644" customFormat="1">
      <c r="A127" s="678" t="s">
        <v>1432</v>
      </c>
      <c r="B127" s="616" t="s">
        <v>1042</v>
      </c>
      <c r="C127" s="648" t="s">
        <v>33</v>
      </c>
      <c r="D127" s="617">
        <v>325</v>
      </c>
      <c r="E127" s="648"/>
      <c r="F127" s="682">
        <f>E127*D127</f>
        <v>0</v>
      </c>
    </row>
    <row r="128" spans="1:198" s="644" customFormat="1">
      <c r="A128" s="678"/>
      <c r="B128" s="616" t="s">
        <v>1263</v>
      </c>
      <c r="C128" s="648" t="s">
        <v>441</v>
      </c>
      <c r="D128" s="617">
        <f>D56</f>
        <v>400</v>
      </c>
      <c r="E128" s="648"/>
      <c r="F128" s="682">
        <f>E128*D128</f>
        <v>0</v>
      </c>
    </row>
    <row r="129" spans="1:7" s="644" customFormat="1">
      <c r="A129" s="678"/>
      <c r="B129" s="674" t="s">
        <v>18</v>
      </c>
      <c r="C129" s="648"/>
      <c r="D129" s="617"/>
      <c r="E129" s="648"/>
      <c r="F129" s="682"/>
    </row>
    <row r="130" spans="1:7" s="644" customFormat="1">
      <c r="A130" s="678"/>
      <c r="B130" s="649" t="s">
        <v>486</v>
      </c>
      <c r="C130" s="648"/>
      <c r="D130" s="617"/>
      <c r="E130" s="648"/>
      <c r="F130" s="682"/>
    </row>
    <row r="131" spans="1:7" s="644" customFormat="1">
      <c r="A131" s="678" t="s">
        <v>1433</v>
      </c>
      <c r="B131" s="616" t="s">
        <v>1078</v>
      </c>
      <c r="C131" s="648" t="s">
        <v>33</v>
      </c>
      <c r="D131" s="617">
        <f>D14</f>
        <v>125</v>
      </c>
      <c r="E131" s="648"/>
      <c r="F131" s="682">
        <f>E131*D131</f>
        <v>0</v>
      </c>
    </row>
    <row r="132" spans="1:7" s="644" customFormat="1">
      <c r="A132" s="678" t="s">
        <v>1434</v>
      </c>
      <c r="B132" s="616" t="s">
        <v>1079</v>
      </c>
      <c r="C132" s="648" t="s">
        <v>50</v>
      </c>
      <c r="D132" s="617">
        <v>150</v>
      </c>
      <c r="E132" s="648"/>
      <c r="F132" s="682">
        <f t="shared" ref="F132" si="5">D132*E132</f>
        <v>0</v>
      </c>
    </row>
    <row r="133" spans="1:7" s="166" customFormat="1" ht="15.5">
      <c r="A133" s="716" t="s">
        <v>1435</v>
      </c>
      <c r="B133" s="717" t="s">
        <v>523</v>
      </c>
      <c r="C133" s="617" t="s">
        <v>33</v>
      </c>
      <c r="D133" s="617">
        <v>21</v>
      </c>
      <c r="E133" s="618"/>
      <c r="F133" s="612">
        <f t="shared" ref="F133" si="6">E133*D133</f>
        <v>0</v>
      </c>
    </row>
    <row r="134" spans="1:7" s="644" customFormat="1">
      <c r="A134" s="678"/>
      <c r="B134" s="674" t="s">
        <v>392</v>
      </c>
      <c r="C134" s="648"/>
      <c r="D134" s="617"/>
      <c r="E134" s="648"/>
      <c r="F134" s="682"/>
    </row>
    <row r="135" spans="1:7" s="644" customFormat="1">
      <c r="A135" s="678"/>
      <c r="B135" s="674" t="s">
        <v>1043</v>
      </c>
      <c r="C135" s="648"/>
      <c r="D135" s="617"/>
      <c r="E135" s="648"/>
      <c r="F135" s="682"/>
    </row>
    <row r="136" spans="1:7" s="644" customFormat="1">
      <c r="A136" s="678"/>
      <c r="B136" s="674" t="s">
        <v>1044</v>
      </c>
      <c r="C136" s="648"/>
      <c r="D136" s="617"/>
      <c r="E136" s="648"/>
      <c r="F136" s="682"/>
    </row>
    <row r="137" spans="1:7" s="644" customFormat="1">
      <c r="A137" s="678" t="s">
        <v>1436</v>
      </c>
      <c r="B137" s="616" t="s">
        <v>1045</v>
      </c>
      <c r="C137" s="648" t="s">
        <v>33</v>
      </c>
      <c r="D137" s="617">
        <f>D125</f>
        <v>74</v>
      </c>
      <c r="E137" s="648"/>
      <c r="F137" s="682">
        <f>E137*D137</f>
        <v>0</v>
      </c>
    </row>
    <row r="138" spans="1:7" s="644" customFormat="1">
      <c r="A138" s="678"/>
      <c r="B138" s="674" t="s">
        <v>1046</v>
      </c>
      <c r="C138" s="648"/>
      <c r="D138" s="617"/>
      <c r="E138" s="648"/>
      <c r="F138" s="682"/>
    </row>
    <row r="139" spans="1:7" s="644" customFormat="1">
      <c r="A139" s="678"/>
      <c r="B139" s="674" t="s">
        <v>1047</v>
      </c>
      <c r="C139" s="648"/>
      <c r="D139" s="617"/>
      <c r="E139" s="648"/>
      <c r="F139" s="682"/>
    </row>
    <row r="140" spans="1:7" s="644" customFormat="1">
      <c r="A140" s="678" t="s">
        <v>1437</v>
      </c>
      <c r="B140" s="616" t="s">
        <v>1048</v>
      </c>
      <c r="C140" s="648" t="s">
        <v>33</v>
      </c>
      <c r="D140" s="617">
        <f>D127+D128</f>
        <v>725</v>
      </c>
      <c r="E140" s="648"/>
      <c r="F140" s="682">
        <f>E140*D140</f>
        <v>0</v>
      </c>
    </row>
    <row r="141" spans="1:7" s="155" customFormat="1" ht="15.5">
      <c r="A141" s="718"/>
      <c r="B141" s="719" t="s">
        <v>1179</v>
      </c>
      <c r="C141" s="720"/>
      <c r="D141" s="762"/>
      <c r="E141" s="718"/>
      <c r="F141" s="721">
        <f>SUM(F124:F140)</f>
        <v>0</v>
      </c>
      <c r="G141" s="167"/>
    </row>
    <row r="142" spans="1:7" s="156" customFormat="1" ht="15.5">
      <c r="A142" s="722"/>
      <c r="B142" s="723"/>
      <c r="C142" s="724"/>
      <c r="D142" s="724"/>
      <c r="E142" s="726"/>
      <c r="F142" s="727">
        <f t="shared" ref="F142:F171" si="7">E142*D142</f>
        <v>0</v>
      </c>
      <c r="G142" s="168"/>
    </row>
    <row r="143" spans="1:7" s="156" customFormat="1" ht="15.5">
      <c r="A143" s="722"/>
      <c r="B143" s="723"/>
      <c r="C143" s="724"/>
      <c r="D143" s="724"/>
      <c r="E143" s="726"/>
      <c r="F143" s="727"/>
      <c r="G143" s="168"/>
    </row>
    <row r="144" spans="1:7" s="156" customFormat="1" ht="15.5">
      <c r="A144" s="722"/>
      <c r="B144" s="723"/>
      <c r="C144" s="724"/>
      <c r="D144" s="724"/>
      <c r="E144" s="726"/>
      <c r="F144" s="727"/>
      <c r="G144" s="168"/>
    </row>
    <row r="145" spans="1:7" s="156" customFormat="1" ht="15.5">
      <c r="A145" s="722"/>
      <c r="B145" s="723"/>
      <c r="C145" s="724"/>
      <c r="D145" s="724"/>
      <c r="E145" s="726"/>
      <c r="F145" s="727"/>
      <c r="G145" s="168"/>
    </row>
    <row r="146" spans="1:7" s="156" customFormat="1" ht="15.5">
      <c r="A146" s="722"/>
      <c r="B146" s="723"/>
      <c r="C146" s="724"/>
      <c r="D146" s="724"/>
      <c r="E146" s="726"/>
      <c r="F146" s="727"/>
      <c r="G146" s="168"/>
    </row>
    <row r="147" spans="1:7" s="156" customFormat="1" ht="15.5">
      <c r="A147" s="722"/>
      <c r="B147" s="723"/>
      <c r="C147" s="724"/>
      <c r="D147" s="724"/>
      <c r="E147" s="726"/>
      <c r="F147" s="727"/>
      <c r="G147" s="168"/>
    </row>
    <row r="148" spans="1:7" s="156" customFormat="1" ht="15.5">
      <c r="A148" s="722"/>
      <c r="B148" s="723"/>
      <c r="C148" s="724"/>
      <c r="D148" s="724"/>
      <c r="E148" s="726"/>
      <c r="F148" s="727"/>
      <c r="G148" s="168"/>
    </row>
    <row r="149" spans="1:7" s="156" customFormat="1" ht="15.5">
      <c r="A149" s="722"/>
      <c r="B149" s="723"/>
      <c r="C149" s="724"/>
      <c r="D149" s="724"/>
      <c r="E149" s="726"/>
      <c r="F149" s="727"/>
      <c r="G149" s="168"/>
    </row>
    <row r="150" spans="1:7" s="156" customFormat="1" ht="15.5">
      <c r="A150" s="722"/>
      <c r="B150" s="723"/>
      <c r="C150" s="724"/>
      <c r="D150" s="724"/>
      <c r="E150" s="726"/>
      <c r="F150" s="727"/>
      <c r="G150" s="168"/>
    </row>
    <row r="151" spans="1:7" s="156" customFormat="1" ht="15.5">
      <c r="A151" s="722"/>
      <c r="B151" s="723"/>
      <c r="C151" s="724"/>
      <c r="D151" s="724"/>
      <c r="E151" s="726"/>
      <c r="F151" s="727"/>
      <c r="G151" s="168"/>
    </row>
    <row r="152" spans="1:7" s="156" customFormat="1" ht="15.5">
      <c r="A152" s="722"/>
      <c r="B152" s="723"/>
      <c r="C152" s="724"/>
      <c r="D152" s="724"/>
      <c r="E152" s="726"/>
      <c r="F152" s="727"/>
      <c r="G152" s="168"/>
    </row>
    <row r="153" spans="1:7" s="156" customFormat="1" ht="15.5">
      <c r="A153" s="722"/>
      <c r="B153" s="723"/>
      <c r="C153" s="724"/>
      <c r="D153" s="724"/>
      <c r="E153" s="726"/>
      <c r="F153" s="727"/>
      <c r="G153" s="168"/>
    </row>
    <row r="154" spans="1:7" s="185" customFormat="1" ht="15.5">
      <c r="A154" s="728">
        <v>6.8</v>
      </c>
      <c r="B154" s="729" t="s">
        <v>1849</v>
      </c>
      <c r="C154" s="730"/>
      <c r="D154" s="742"/>
      <c r="E154" s="730"/>
      <c r="F154" s="732">
        <f t="shared" si="7"/>
        <v>0</v>
      </c>
      <c r="G154" s="170"/>
    </row>
    <row r="155" spans="1:7" s="157" customFormat="1" ht="29.4" customHeight="1">
      <c r="A155" s="733"/>
      <c r="B155" s="734" t="s">
        <v>479</v>
      </c>
      <c r="C155" s="735"/>
      <c r="D155" s="735"/>
      <c r="E155" s="737"/>
      <c r="F155" s="727">
        <f t="shared" si="7"/>
        <v>0</v>
      </c>
      <c r="G155" s="169"/>
    </row>
    <row r="156" spans="1:7" s="157" customFormat="1" ht="20.399999999999999" customHeight="1">
      <c r="A156" s="733" t="s">
        <v>1438</v>
      </c>
      <c r="B156" s="738" t="s">
        <v>513</v>
      </c>
      <c r="C156" s="735" t="s">
        <v>5</v>
      </c>
      <c r="D156" s="617">
        <v>12</v>
      </c>
      <c r="E156" s="586"/>
      <c r="F156" s="612">
        <f t="shared" si="7"/>
        <v>0</v>
      </c>
      <c r="G156" s="169"/>
    </row>
    <row r="157" spans="1:7" s="157" customFormat="1" ht="15.5">
      <c r="A157" s="733"/>
      <c r="B157" s="739" t="s">
        <v>198</v>
      </c>
      <c r="C157" s="735"/>
      <c r="D157" s="617"/>
      <c r="E157" s="586"/>
      <c r="F157" s="612">
        <f t="shared" si="7"/>
        <v>0</v>
      </c>
      <c r="G157" s="169"/>
    </row>
    <row r="158" spans="1:7" s="157" customFormat="1" ht="20.399999999999999" customHeight="1">
      <c r="A158" s="733" t="s">
        <v>1850</v>
      </c>
      <c r="B158" s="738" t="s">
        <v>269</v>
      </c>
      <c r="C158" s="735" t="s">
        <v>12</v>
      </c>
      <c r="D158" s="617">
        <v>3</v>
      </c>
      <c r="E158" s="586"/>
      <c r="F158" s="612">
        <f t="shared" si="7"/>
        <v>0</v>
      </c>
      <c r="G158" s="169"/>
    </row>
    <row r="159" spans="1:7" s="157" customFormat="1" ht="15.5">
      <c r="A159" s="733"/>
      <c r="B159" s="729" t="s">
        <v>199</v>
      </c>
      <c r="C159" s="737"/>
      <c r="D159" s="617"/>
      <c r="E159" s="586"/>
      <c r="F159" s="612">
        <f t="shared" si="7"/>
        <v>0</v>
      </c>
      <c r="G159" s="169"/>
    </row>
    <row r="160" spans="1:7" s="157" customFormat="1" ht="29.4" customHeight="1">
      <c r="A160" s="733"/>
      <c r="B160" s="740" t="s">
        <v>480</v>
      </c>
      <c r="C160" s="735"/>
      <c r="D160" s="617"/>
      <c r="E160" s="586"/>
      <c r="F160" s="612">
        <f t="shared" si="7"/>
        <v>0</v>
      </c>
      <c r="G160" s="169"/>
    </row>
    <row r="161" spans="1:7" s="157" customFormat="1" ht="15.5">
      <c r="A161" s="733"/>
      <c r="B161" s="741" t="s">
        <v>206</v>
      </c>
      <c r="C161" s="735"/>
      <c r="D161" s="617"/>
      <c r="E161" s="586"/>
      <c r="F161" s="612">
        <f t="shared" si="7"/>
        <v>0</v>
      </c>
      <c r="G161" s="169"/>
    </row>
    <row r="162" spans="1:7" s="157" customFormat="1" ht="15.5">
      <c r="A162" s="733" t="s">
        <v>1851</v>
      </c>
      <c r="B162" s="741" t="s">
        <v>207</v>
      </c>
      <c r="C162" s="735" t="s">
        <v>12</v>
      </c>
      <c r="D162" s="617">
        <v>6</v>
      </c>
      <c r="E162" s="586"/>
      <c r="F162" s="612">
        <f t="shared" si="7"/>
        <v>0</v>
      </c>
      <c r="G162" s="169"/>
    </row>
    <row r="163" spans="1:7" s="157" customFormat="1" ht="15.5">
      <c r="A163" s="733"/>
      <c r="B163" s="739" t="s">
        <v>514</v>
      </c>
      <c r="C163" s="737"/>
      <c r="D163" s="617"/>
      <c r="E163" s="586"/>
      <c r="F163" s="612">
        <f t="shared" si="7"/>
        <v>0</v>
      </c>
      <c r="G163" s="169"/>
    </row>
    <row r="164" spans="1:7" s="157" customFormat="1" ht="29.4" customHeight="1">
      <c r="A164" s="733"/>
      <c r="B164" s="738" t="s">
        <v>515</v>
      </c>
      <c r="C164" s="735"/>
      <c r="D164" s="617"/>
      <c r="E164" s="586"/>
      <c r="F164" s="612">
        <f t="shared" si="7"/>
        <v>0</v>
      </c>
      <c r="G164" s="169"/>
    </row>
    <row r="165" spans="1:7" s="157" customFormat="1" ht="15.5">
      <c r="A165" s="733" t="s">
        <v>1852</v>
      </c>
      <c r="B165" s="741" t="s">
        <v>516</v>
      </c>
      <c r="C165" s="735" t="s">
        <v>4</v>
      </c>
      <c r="D165" s="617">
        <v>50</v>
      </c>
      <c r="E165" s="586"/>
      <c r="F165" s="612">
        <f t="shared" si="7"/>
        <v>0</v>
      </c>
      <c r="G165" s="169"/>
    </row>
    <row r="166" spans="1:7" s="157" customFormat="1" ht="15.5">
      <c r="A166" s="733"/>
      <c r="B166" s="741"/>
      <c r="C166" s="735"/>
      <c r="D166" s="617"/>
      <c r="E166" s="586"/>
      <c r="F166" s="612"/>
      <c r="G166" s="169"/>
    </row>
    <row r="167" spans="1:7" s="185" customFormat="1" ht="16.75" customHeight="1">
      <c r="A167" s="728"/>
      <c r="B167" s="734" t="s">
        <v>1232</v>
      </c>
      <c r="C167" s="742"/>
      <c r="D167" s="715"/>
      <c r="E167" s="602"/>
      <c r="F167" s="605">
        <f>SUM(F142:F166)</f>
        <v>0</v>
      </c>
      <c r="G167" s="170"/>
    </row>
    <row r="168" spans="1:7" s="185" customFormat="1" ht="16.75" customHeight="1">
      <c r="A168" s="728"/>
      <c r="B168" s="734"/>
      <c r="C168" s="742"/>
      <c r="D168" s="715"/>
      <c r="E168" s="602"/>
      <c r="F168" s="605"/>
      <c r="G168" s="170"/>
    </row>
    <row r="169" spans="1:7" s="185" customFormat="1" ht="15.5">
      <c r="A169" s="728">
        <v>6.9</v>
      </c>
      <c r="B169" s="729" t="s">
        <v>1853</v>
      </c>
      <c r="C169" s="742"/>
      <c r="D169" s="617"/>
      <c r="E169" s="586"/>
      <c r="F169" s="612"/>
      <c r="G169" s="170"/>
    </row>
    <row r="170" spans="1:7" s="157" customFormat="1" ht="29.4" customHeight="1">
      <c r="A170" s="744"/>
      <c r="B170" s="723" t="s">
        <v>517</v>
      </c>
      <c r="C170" s="745"/>
      <c r="D170" s="617"/>
      <c r="E170" s="586"/>
      <c r="F170" s="612">
        <f t="shared" si="7"/>
        <v>0</v>
      </c>
      <c r="G170" s="169"/>
    </row>
    <row r="171" spans="1:7" s="157" customFormat="1" ht="15.5">
      <c r="A171" s="744" t="s">
        <v>1439</v>
      </c>
      <c r="B171" s="746" t="s">
        <v>518</v>
      </c>
      <c r="C171" s="745" t="s">
        <v>519</v>
      </c>
      <c r="D171" s="617">
        <v>6</v>
      </c>
      <c r="E171" s="586"/>
      <c r="F171" s="612">
        <f t="shared" si="7"/>
        <v>0</v>
      </c>
      <c r="G171" s="169"/>
    </row>
    <row r="172" spans="1:7" s="157" customFormat="1" ht="15.5">
      <c r="A172" s="744"/>
      <c r="B172" s="746"/>
      <c r="C172" s="745"/>
      <c r="D172" s="617"/>
      <c r="E172" s="586"/>
      <c r="F172" s="612"/>
      <c r="G172" s="169"/>
    </row>
    <row r="173" spans="1:7" s="185" customFormat="1" ht="15.5">
      <c r="A173" s="722"/>
      <c r="B173" s="747" t="s">
        <v>1233</v>
      </c>
      <c r="C173" s="636"/>
      <c r="D173" s="715"/>
      <c r="E173" s="602"/>
      <c r="F173" s="605">
        <f>SUM(F170:F172)</f>
        <v>0</v>
      </c>
      <c r="G173" s="170"/>
    </row>
    <row r="174" spans="1:7" s="185" customFormat="1" ht="15.5">
      <c r="A174" s="722"/>
      <c r="B174" s="747"/>
      <c r="C174" s="636"/>
      <c r="D174" s="715"/>
      <c r="E174" s="602"/>
      <c r="F174" s="605"/>
      <c r="G174" s="170"/>
    </row>
    <row r="175" spans="1:7" s="158" customFormat="1" ht="15.5">
      <c r="A175" s="1184">
        <v>6.1</v>
      </c>
      <c r="B175" s="748" t="s">
        <v>1855</v>
      </c>
      <c r="C175" s="636"/>
      <c r="D175" s="617"/>
      <c r="E175" s="586"/>
      <c r="F175" s="612"/>
      <c r="G175" s="170"/>
    </row>
    <row r="176" spans="1:7" s="148" customFormat="1" ht="62">
      <c r="A176" s="744" t="s">
        <v>1854</v>
      </c>
      <c r="B176" s="746" t="s">
        <v>524</v>
      </c>
      <c r="C176" s="745" t="s">
        <v>146</v>
      </c>
      <c r="D176" s="617" t="s">
        <v>439</v>
      </c>
      <c r="E176" s="586"/>
      <c r="F176" s="612"/>
      <c r="G176" s="169"/>
    </row>
    <row r="177" spans="1:7" s="158" customFormat="1" ht="14.4" customHeight="1">
      <c r="A177" s="722"/>
      <c r="B177" s="747" t="s">
        <v>1234</v>
      </c>
      <c r="C177" s="636"/>
      <c r="D177" s="742"/>
      <c r="E177" s="730"/>
      <c r="F177" s="751">
        <f>SUM(F176)</f>
        <v>0</v>
      </c>
      <c r="G177" s="170"/>
    </row>
    <row r="178" spans="1:7" s="158" customFormat="1" ht="15.5">
      <c r="A178" s="722"/>
      <c r="B178" s="599"/>
      <c r="C178" s="583"/>
      <c r="D178" s="613"/>
      <c r="E178" s="600"/>
      <c r="F178" s="749"/>
      <c r="G178" s="170"/>
    </row>
    <row r="179" spans="1:7" s="58" customFormat="1">
      <c r="A179" s="668"/>
      <c r="B179" s="589"/>
      <c r="C179" s="592"/>
      <c r="D179" s="601"/>
      <c r="E179" s="801"/>
      <c r="F179" s="603"/>
      <c r="G179" s="132"/>
    </row>
    <row r="180" spans="1:7" s="11" customFormat="1" ht="3" customHeight="1">
      <c r="A180" s="670"/>
      <c r="B180" s="588"/>
      <c r="C180" s="598"/>
      <c r="D180" s="585"/>
      <c r="E180" s="607"/>
      <c r="F180" s="587"/>
      <c r="G180" s="131"/>
    </row>
    <row r="181" spans="1:7" s="11" customFormat="1">
      <c r="A181" s="670"/>
      <c r="B181" s="584"/>
      <c r="C181" s="671"/>
      <c r="D181" s="672"/>
      <c r="E181" s="607"/>
      <c r="F181" s="587"/>
      <c r="G181" s="131"/>
    </row>
    <row r="182" spans="1:7" s="101" customFormat="1">
      <c r="A182" s="678"/>
      <c r="B182" s="674"/>
      <c r="C182" s="648"/>
      <c r="D182" s="617"/>
      <c r="E182" s="618"/>
      <c r="F182" s="675"/>
      <c r="G182" s="159"/>
    </row>
    <row r="183" spans="1:7" s="101" customFormat="1">
      <c r="A183" s="678"/>
      <c r="B183" s="674"/>
      <c r="C183" s="648"/>
      <c r="D183" s="617"/>
      <c r="E183" s="618"/>
      <c r="F183" s="675"/>
      <c r="G183" s="159"/>
    </row>
    <row r="184" spans="1:7" s="101" customFormat="1">
      <c r="A184" s="678"/>
      <c r="B184" s="674"/>
      <c r="C184" s="648"/>
      <c r="D184" s="617"/>
      <c r="E184" s="618"/>
      <c r="F184" s="675"/>
      <c r="G184" s="159"/>
    </row>
    <row r="185" spans="1:7" s="101" customFormat="1">
      <c r="A185" s="678"/>
      <c r="B185" s="674"/>
      <c r="C185" s="648"/>
      <c r="D185" s="617"/>
      <c r="E185" s="618"/>
      <c r="F185" s="675"/>
      <c r="G185" s="159"/>
    </row>
    <row r="186" spans="1:7" s="101" customFormat="1">
      <c r="A186" s="678"/>
      <c r="B186" s="674"/>
      <c r="C186" s="648"/>
      <c r="D186" s="617"/>
      <c r="E186" s="618"/>
      <c r="F186" s="675"/>
      <c r="G186" s="159"/>
    </row>
    <row r="187" spans="1:7" s="101" customFormat="1">
      <c r="A187" s="678"/>
      <c r="B187" s="674"/>
      <c r="C187" s="648"/>
      <c r="D187" s="617"/>
      <c r="E187" s="618"/>
      <c r="F187" s="675"/>
      <c r="G187" s="159"/>
    </row>
    <row r="188" spans="1:7" s="101" customFormat="1">
      <c r="A188" s="678"/>
      <c r="B188" s="674"/>
      <c r="C188" s="648"/>
      <c r="D188" s="617"/>
      <c r="E188" s="618"/>
      <c r="F188" s="675"/>
      <c r="G188" s="159"/>
    </row>
    <row r="189" spans="1:7" s="101" customFormat="1">
      <c r="A189" s="678"/>
      <c r="B189" s="674"/>
      <c r="C189" s="648"/>
      <c r="D189" s="617"/>
      <c r="E189" s="618"/>
      <c r="F189" s="675"/>
      <c r="G189" s="159"/>
    </row>
    <row r="190" spans="1:7" s="101" customFormat="1">
      <c r="A190" s="678"/>
      <c r="B190" s="674"/>
      <c r="C190" s="648"/>
      <c r="D190" s="617"/>
      <c r="E190" s="618"/>
      <c r="F190" s="675"/>
      <c r="G190" s="159"/>
    </row>
    <row r="191" spans="1:7" s="101" customFormat="1">
      <c r="A191" s="678"/>
      <c r="B191" s="674" t="s">
        <v>1858</v>
      </c>
      <c r="C191" s="648"/>
      <c r="D191" s="617"/>
      <c r="E191" s="618"/>
      <c r="F191" s="675"/>
      <c r="G191" s="159"/>
    </row>
    <row r="192" spans="1:7" s="101" customFormat="1">
      <c r="A192" s="678"/>
      <c r="B192" s="674"/>
      <c r="C192" s="648"/>
      <c r="D192" s="617"/>
      <c r="E192" s="618"/>
      <c r="F192" s="675"/>
      <c r="G192" s="159"/>
    </row>
    <row r="193" spans="1:7" s="148" customFormat="1" ht="15.5">
      <c r="A193" s="744"/>
      <c r="B193" s="590" t="s">
        <v>437</v>
      </c>
      <c r="C193" s="591"/>
      <c r="D193" s="606"/>
      <c r="E193" s="597"/>
      <c r="F193" s="803">
        <f>F46</f>
        <v>0</v>
      </c>
      <c r="G193" s="169"/>
    </row>
    <row r="194" spans="1:7" s="148" customFormat="1" ht="15.5">
      <c r="A194" s="744"/>
      <c r="B194" s="590"/>
      <c r="C194" s="591"/>
      <c r="D194" s="606"/>
      <c r="E194" s="597"/>
      <c r="F194" s="803"/>
      <c r="G194" s="169"/>
    </row>
    <row r="195" spans="1:7" s="148" customFormat="1" ht="15.5">
      <c r="A195" s="744"/>
      <c r="B195" s="590" t="s">
        <v>1063</v>
      </c>
      <c r="C195" s="591"/>
      <c r="D195" s="606"/>
      <c r="E195" s="597"/>
      <c r="F195" s="803">
        <f>F60</f>
        <v>0</v>
      </c>
      <c r="G195" s="169"/>
    </row>
    <row r="196" spans="1:7" s="148" customFormat="1" ht="15.5">
      <c r="A196" s="744"/>
      <c r="B196" s="590"/>
      <c r="C196" s="591"/>
      <c r="D196" s="606"/>
      <c r="E196" s="597"/>
      <c r="F196" s="803"/>
      <c r="G196" s="169"/>
    </row>
    <row r="197" spans="1:7" s="148" customFormat="1" ht="15.5">
      <c r="A197" s="744"/>
      <c r="B197" s="590" t="s">
        <v>1071</v>
      </c>
      <c r="C197" s="591"/>
      <c r="D197" s="606"/>
      <c r="E197" s="597"/>
      <c r="F197" s="803">
        <f>F77</f>
        <v>0</v>
      </c>
      <c r="G197" s="169"/>
    </row>
    <row r="198" spans="1:7" s="148" customFormat="1" ht="15.5">
      <c r="A198" s="744"/>
      <c r="B198" s="590"/>
      <c r="C198" s="591"/>
      <c r="D198" s="606"/>
      <c r="E198" s="597"/>
      <c r="F198" s="803"/>
      <c r="G198" s="169"/>
    </row>
    <row r="199" spans="1:7" s="148" customFormat="1" ht="15.5">
      <c r="A199" s="744"/>
      <c r="B199" s="590" t="s">
        <v>1162</v>
      </c>
      <c r="C199" s="591"/>
      <c r="D199" s="606"/>
      <c r="E199" s="597"/>
      <c r="F199" s="803">
        <f>F101</f>
        <v>0</v>
      </c>
      <c r="G199" s="169"/>
    </row>
    <row r="200" spans="1:7" s="148" customFormat="1" ht="15.5">
      <c r="A200" s="744"/>
      <c r="B200" s="590"/>
      <c r="C200" s="591"/>
      <c r="D200" s="606"/>
      <c r="E200" s="597"/>
      <c r="F200" s="803"/>
      <c r="G200" s="169"/>
    </row>
    <row r="201" spans="1:7" s="148" customFormat="1" ht="15.5">
      <c r="A201" s="744"/>
      <c r="B201" s="590" t="s">
        <v>1168</v>
      </c>
      <c r="C201" s="591"/>
      <c r="D201" s="606"/>
      <c r="E201" s="597"/>
      <c r="F201" s="803">
        <f>F116</f>
        <v>0</v>
      </c>
      <c r="G201" s="169"/>
    </row>
    <row r="202" spans="1:7" s="148" customFormat="1" ht="15.5">
      <c r="A202" s="744"/>
      <c r="B202" s="590"/>
      <c r="C202" s="591"/>
      <c r="D202" s="606"/>
      <c r="E202" s="597"/>
      <c r="F202" s="803"/>
      <c r="G202" s="169"/>
    </row>
    <row r="203" spans="1:7" s="148" customFormat="1" ht="15.5">
      <c r="A203" s="744"/>
      <c r="B203" s="746" t="s">
        <v>1177</v>
      </c>
      <c r="C203" s="745"/>
      <c r="D203" s="735"/>
      <c r="E203" s="737"/>
      <c r="F203" s="804">
        <f>F120</f>
        <v>0</v>
      </c>
      <c r="G203" s="169"/>
    </row>
    <row r="204" spans="1:7" s="148" customFormat="1" ht="15.5">
      <c r="A204" s="744"/>
      <c r="B204" s="746"/>
      <c r="C204" s="745"/>
      <c r="D204" s="735"/>
      <c r="E204" s="737"/>
      <c r="F204" s="804"/>
      <c r="G204" s="169"/>
    </row>
    <row r="205" spans="1:7" s="148" customFormat="1" ht="15.5">
      <c r="A205" s="744"/>
      <c r="B205" s="746" t="s">
        <v>1077</v>
      </c>
      <c r="C205" s="745"/>
      <c r="D205" s="735"/>
      <c r="E205" s="737"/>
      <c r="F205" s="804">
        <f>F141</f>
        <v>0</v>
      </c>
      <c r="G205" s="169"/>
    </row>
    <row r="206" spans="1:7" s="148" customFormat="1" ht="15.5">
      <c r="A206" s="744"/>
      <c r="B206" s="746"/>
      <c r="C206" s="745"/>
      <c r="D206" s="735"/>
      <c r="E206" s="737"/>
      <c r="F206" s="804"/>
      <c r="G206" s="169"/>
    </row>
    <row r="207" spans="1:7" s="148" customFormat="1" ht="15.5">
      <c r="A207" s="744"/>
      <c r="B207" s="741" t="s">
        <v>1180</v>
      </c>
      <c r="C207" s="745"/>
      <c r="D207" s="735"/>
      <c r="E207" s="737"/>
      <c r="F207" s="804">
        <f>F167</f>
        <v>0</v>
      </c>
      <c r="G207" s="169"/>
    </row>
    <row r="208" spans="1:7" s="148" customFormat="1" ht="15.5">
      <c r="A208" s="744"/>
      <c r="B208" s="746"/>
      <c r="C208" s="745"/>
      <c r="D208" s="735"/>
      <c r="E208" s="737"/>
      <c r="F208" s="804"/>
      <c r="G208" s="169"/>
    </row>
    <row r="209" spans="1:7" s="148" customFormat="1" ht="15.5">
      <c r="A209" s="744"/>
      <c r="B209" s="741" t="str">
        <f>B169</f>
        <v>ELEMENT NO. 9 FANS</v>
      </c>
      <c r="C209" s="745"/>
      <c r="D209" s="735"/>
      <c r="E209" s="737"/>
      <c r="F209" s="804">
        <f>F173</f>
        <v>0</v>
      </c>
      <c r="G209" s="169"/>
    </row>
    <row r="210" spans="1:7" s="148" customFormat="1" ht="15.5">
      <c r="A210" s="744"/>
      <c r="B210" s="746"/>
      <c r="C210" s="745"/>
      <c r="D210" s="735"/>
      <c r="E210" s="737"/>
      <c r="F210" s="804"/>
      <c r="G210" s="169"/>
    </row>
    <row r="211" spans="1:7" s="148" customFormat="1" ht="15.5">
      <c r="A211" s="744"/>
      <c r="B211" s="746" t="s">
        <v>1189</v>
      </c>
      <c r="C211" s="745"/>
      <c r="D211" s="735"/>
      <c r="E211" s="737"/>
      <c r="F211" s="804">
        <f>F176</f>
        <v>0</v>
      </c>
      <c r="G211" s="169"/>
    </row>
    <row r="212" spans="1:7" s="148" customFormat="1" ht="15.5">
      <c r="A212" s="744"/>
      <c r="B212" s="746"/>
      <c r="C212" s="745"/>
      <c r="D212" s="735"/>
      <c r="E212" s="737"/>
      <c r="F212" s="804"/>
      <c r="G212" s="169"/>
    </row>
    <row r="213" spans="1:7" s="102" customFormat="1" ht="15.5">
      <c r="A213" s="673"/>
      <c r="B213" s="752" t="s">
        <v>587</v>
      </c>
      <c r="C213" s="815"/>
      <c r="D213" s="816"/>
      <c r="E213" s="817"/>
      <c r="F213" s="818">
        <f>SUM(F193:F212)</f>
        <v>0</v>
      </c>
      <c r="G213" s="941"/>
    </row>
    <row r="214" spans="1:7" s="158" customFormat="1" ht="15.5">
      <c r="A214" s="722"/>
      <c r="B214" s="599"/>
      <c r="C214" s="583"/>
      <c r="D214" s="613"/>
      <c r="E214" s="600"/>
      <c r="F214" s="750"/>
      <c r="G214" s="170"/>
    </row>
    <row r="215" spans="1:7">
      <c r="A215" s="807"/>
      <c r="B215" s="808"/>
      <c r="C215" s="809"/>
      <c r="D215" s="810"/>
      <c r="E215" s="811"/>
      <c r="F215" s="81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6"/>
  <sheetViews>
    <sheetView view="pageBreakPreview" zoomScaleNormal="100" zoomScaleSheetLayoutView="100" workbookViewId="0">
      <pane xSplit="1" ySplit="2" topLeftCell="B3" activePane="bottomRight" state="frozen"/>
      <selection pane="topRight" activeCell="B1" sqref="B1"/>
      <selection pane="bottomLeft" activeCell="A3" sqref="A3"/>
      <selection pane="bottomRight" activeCell="G1" sqref="G1:O1048576"/>
    </sheetView>
  </sheetViews>
  <sheetFormatPr defaultColWidth="9.08984375" defaultRowHeight="14.5"/>
  <cols>
    <col min="1" max="1" width="6" style="784" customWidth="1"/>
    <col min="2" max="2" width="49.54296875" style="769" customWidth="1"/>
    <col min="3" max="3" width="5.1796875" style="784" bestFit="1" customWidth="1"/>
    <col min="4" max="4" width="8.36328125" style="767" customWidth="1"/>
    <col min="5" max="5" width="5.54296875" style="790" bestFit="1" customWidth="1"/>
    <col min="6" max="6" width="10.6328125" style="768" bestFit="1" customWidth="1"/>
    <col min="7" max="16384" width="9.08984375" style="763"/>
  </cols>
  <sheetData>
    <row r="1" spans="1:7" ht="15" customHeight="1">
      <c r="A1" s="780" t="s">
        <v>0</v>
      </c>
      <c r="B1" s="823" t="s">
        <v>1</v>
      </c>
      <c r="C1" s="780" t="s">
        <v>2</v>
      </c>
      <c r="D1" s="781" t="s">
        <v>426</v>
      </c>
      <c r="E1" s="782" t="s">
        <v>368</v>
      </c>
      <c r="F1" s="783" t="s">
        <v>472</v>
      </c>
      <c r="G1" s="819"/>
    </row>
    <row r="2" spans="1:7" s="764" customFormat="1">
      <c r="A2" s="681">
        <v>7</v>
      </c>
      <c r="B2" s="674" t="s">
        <v>1506</v>
      </c>
      <c r="C2" s="648"/>
      <c r="D2" s="617"/>
      <c r="E2" s="618"/>
      <c r="F2" s="675"/>
    </row>
    <row r="3" spans="1:7" s="764" customFormat="1">
      <c r="A3" s="681"/>
      <c r="B3" s="635"/>
      <c r="C3" s="648"/>
      <c r="D3" s="617"/>
      <c r="E3" s="618"/>
      <c r="F3" s="675"/>
    </row>
    <row r="4" spans="1:7" s="764" customFormat="1">
      <c r="A4" s="681">
        <v>7.1</v>
      </c>
      <c r="B4" s="674" t="s">
        <v>437</v>
      </c>
      <c r="C4" s="648"/>
      <c r="D4" s="617"/>
      <c r="E4" s="618"/>
      <c r="F4" s="675"/>
    </row>
    <row r="5" spans="1:7" s="764" customFormat="1">
      <c r="A5" s="681" t="s">
        <v>1467</v>
      </c>
      <c r="B5" s="616" t="s">
        <v>144</v>
      </c>
      <c r="C5" s="617" t="s">
        <v>441</v>
      </c>
      <c r="D5" s="617">
        <v>54</v>
      </c>
      <c r="E5" s="618"/>
      <c r="F5" s="675">
        <f t="shared" ref="F5:F12" si="0">D5*E5</f>
        <v>0</v>
      </c>
    </row>
    <row r="6" spans="1:7" s="764" customFormat="1">
      <c r="A6" s="681" t="s">
        <v>34</v>
      </c>
      <c r="B6" s="616" t="s">
        <v>145</v>
      </c>
      <c r="C6" s="648"/>
      <c r="D6" s="617"/>
      <c r="E6" s="618"/>
      <c r="F6" s="675">
        <f t="shared" si="0"/>
        <v>0</v>
      </c>
    </row>
    <row r="7" spans="1:7" s="764" customFormat="1" ht="29">
      <c r="A7" s="681" t="s">
        <v>1468</v>
      </c>
      <c r="B7" s="616" t="s">
        <v>438</v>
      </c>
      <c r="C7" s="617" t="s">
        <v>441</v>
      </c>
      <c r="D7" s="617">
        <f>D5</f>
        <v>54</v>
      </c>
      <c r="E7" s="618"/>
      <c r="F7" s="675">
        <f t="shared" si="0"/>
        <v>0</v>
      </c>
    </row>
    <row r="8" spans="1:7" s="764" customFormat="1" ht="43.5">
      <c r="A8" s="681" t="s">
        <v>1469</v>
      </c>
      <c r="B8" s="616" t="s">
        <v>1084</v>
      </c>
      <c r="C8" s="617" t="s">
        <v>1085</v>
      </c>
      <c r="D8" s="617">
        <v>40</v>
      </c>
      <c r="E8" s="618"/>
      <c r="F8" s="675">
        <f t="shared" si="0"/>
        <v>0</v>
      </c>
    </row>
    <row r="9" spans="1:7" s="159" customFormat="1" ht="16.5">
      <c r="A9" s="615" t="s">
        <v>463</v>
      </c>
      <c r="B9" s="616" t="s">
        <v>1257</v>
      </c>
      <c r="C9" s="617" t="s">
        <v>842</v>
      </c>
      <c r="D9" s="617">
        <v>10</v>
      </c>
      <c r="E9" s="618"/>
      <c r="F9" s="619">
        <f t="shared" si="0"/>
        <v>0</v>
      </c>
    </row>
    <row r="10" spans="1:7" s="764" customFormat="1">
      <c r="A10" s="681" t="s">
        <v>1470</v>
      </c>
      <c r="B10" s="616" t="s">
        <v>1086</v>
      </c>
      <c r="C10" s="763" t="s">
        <v>1085</v>
      </c>
      <c r="D10" s="617">
        <v>20</v>
      </c>
      <c r="E10" s="618"/>
      <c r="F10" s="675">
        <f t="shared" si="0"/>
        <v>0</v>
      </c>
    </row>
    <row r="11" spans="1:7" s="764" customFormat="1" ht="29">
      <c r="A11" s="681" t="s">
        <v>1471</v>
      </c>
      <c r="B11" s="616" t="s">
        <v>367</v>
      </c>
      <c r="C11" s="648" t="s">
        <v>441</v>
      </c>
      <c r="D11" s="617">
        <f>D7</f>
        <v>54</v>
      </c>
      <c r="E11" s="618"/>
      <c r="F11" s="675">
        <f t="shared" si="0"/>
        <v>0</v>
      </c>
    </row>
    <row r="12" spans="1:7" s="764" customFormat="1" ht="29">
      <c r="A12" s="681" t="s">
        <v>1472</v>
      </c>
      <c r="B12" s="616" t="s">
        <v>1087</v>
      </c>
      <c r="C12" s="617" t="s">
        <v>1085</v>
      </c>
      <c r="D12" s="617">
        <v>12</v>
      </c>
      <c r="E12" s="618"/>
      <c r="F12" s="675">
        <f t="shared" si="0"/>
        <v>0</v>
      </c>
    </row>
    <row r="13" spans="1:7" s="764" customFormat="1">
      <c r="A13" s="681" t="s">
        <v>1473</v>
      </c>
      <c r="B13" s="616" t="s">
        <v>1088</v>
      </c>
      <c r="C13" s="617" t="s">
        <v>1085</v>
      </c>
      <c r="D13" s="617">
        <f>D8-D10-D12</f>
        <v>8</v>
      </c>
      <c r="E13" s="618"/>
      <c r="F13" s="675">
        <f>D13*E13</f>
        <v>0</v>
      </c>
    </row>
    <row r="14" spans="1:7" s="764" customFormat="1" ht="18" customHeight="1">
      <c r="A14" s="681" t="s">
        <v>1474</v>
      </c>
      <c r="B14" s="616" t="s">
        <v>153</v>
      </c>
      <c r="C14" s="648" t="s">
        <v>146</v>
      </c>
      <c r="D14" s="617" t="s">
        <v>439</v>
      </c>
      <c r="E14" s="618"/>
      <c r="F14" s="675">
        <f>E14</f>
        <v>0</v>
      </c>
    </row>
    <row r="15" spans="1:7" s="764" customFormat="1">
      <c r="A15" s="681"/>
      <c r="B15" s="616" t="s">
        <v>154</v>
      </c>
      <c r="C15" s="648"/>
      <c r="D15" s="617"/>
      <c r="E15" s="618"/>
      <c r="F15" s="675"/>
    </row>
    <row r="16" spans="1:7" s="764" customFormat="1" ht="29">
      <c r="A16" s="681" t="s">
        <v>1475</v>
      </c>
      <c r="B16" s="616" t="s">
        <v>1089</v>
      </c>
      <c r="C16" s="648" t="s">
        <v>146</v>
      </c>
      <c r="D16" s="617" t="s">
        <v>439</v>
      </c>
      <c r="E16" s="618"/>
      <c r="F16" s="675">
        <f>E16</f>
        <v>0</v>
      </c>
    </row>
    <row r="17" spans="1:6" s="764" customFormat="1">
      <c r="A17" s="681"/>
      <c r="B17" s="674" t="s">
        <v>440</v>
      </c>
      <c r="C17" s="648"/>
      <c r="D17" s="617"/>
      <c r="E17" s="618"/>
      <c r="F17" s="675">
        <f t="shared" ref="F17:F22" si="1">D17*E17</f>
        <v>0</v>
      </c>
    </row>
    <row r="18" spans="1:6" s="764" customFormat="1">
      <c r="A18" s="681"/>
      <c r="B18" s="674" t="s">
        <v>43</v>
      </c>
      <c r="C18" s="648"/>
      <c r="D18" s="617"/>
      <c r="E18" s="618"/>
      <c r="F18" s="675">
        <f t="shared" si="1"/>
        <v>0</v>
      </c>
    </row>
    <row r="19" spans="1:6" s="764" customFormat="1">
      <c r="A19" s="681" t="s">
        <v>1476</v>
      </c>
      <c r="B19" s="616" t="s">
        <v>235</v>
      </c>
      <c r="C19" s="617" t="s">
        <v>441</v>
      </c>
      <c r="D19" s="617">
        <v>30</v>
      </c>
      <c r="E19" s="618"/>
      <c r="F19" s="675">
        <f t="shared" si="1"/>
        <v>0</v>
      </c>
    </row>
    <row r="20" spans="1:6" s="764" customFormat="1" ht="29">
      <c r="A20" s="681"/>
      <c r="B20" s="674" t="s">
        <v>236</v>
      </c>
      <c r="C20" s="648"/>
      <c r="D20" s="617"/>
      <c r="E20" s="618"/>
      <c r="F20" s="675">
        <f t="shared" si="1"/>
        <v>0</v>
      </c>
    </row>
    <row r="21" spans="1:6" s="764" customFormat="1">
      <c r="A21" s="681" t="s">
        <v>1477</v>
      </c>
      <c r="B21" s="616" t="s">
        <v>1090</v>
      </c>
      <c r="C21" s="617" t="s">
        <v>1085</v>
      </c>
      <c r="D21" s="617">
        <v>7.5</v>
      </c>
      <c r="E21" s="618"/>
      <c r="F21" s="675">
        <f t="shared" si="1"/>
        <v>0</v>
      </c>
    </row>
    <row r="22" spans="1:6" s="764" customFormat="1">
      <c r="A22" s="681" t="s">
        <v>1478</v>
      </c>
      <c r="B22" s="616" t="s">
        <v>442</v>
      </c>
      <c r="C22" s="617" t="s">
        <v>441</v>
      </c>
      <c r="D22" s="617">
        <f>D7*0.15</f>
        <v>8.1</v>
      </c>
      <c r="E22" s="618"/>
      <c r="F22" s="675">
        <f t="shared" si="1"/>
        <v>0</v>
      </c>
    </row>
    <row r="23" spans="1:6" s="764" customFormat="1">
      <c r="A23" s="681"/>
      <c r="B23" s="674" t="s">
        <v>443</v>
      </c>
      <c r="C23" s="648"/>
      <c r="D23" s="617"/>
      <c r="E23" s="618"/>
      <c r="F23" s="675">
        <f t="shared" ref="F23:F34" si="2">D23*E23</f>
        <v>0</v>
      </c>
    </row>
    <row r="24" spans="1:6" s="764" customFormat="1">
      <c r="A24" s="681" t="s">
        <v>1479</v>
      </c>
      <c r="B24" s="616" t="s">
        <v>444</v>
      </c>
      <c r="C24" s="617" t="s">
        <v>445</v>
      </c>
      <c r="D24" s="617">
        <v>42</v>
      </c>
      <c r="E24" s="618"/>
      <c r="F24" s="675">
        <f t="shared" si="2"/>
        <v>0</v>
      </c>
    </row>
    <row r="25" spans="1:6" s="764" customFormat="1">
      <c r="A25" s="681"/>
      <c r="B25" s="674" t="s">
        <v>446</v>
      </c>
      <c r="C25" s="617"/>
      <c r="D25" s="617"/>
      <c r="E25" s="618"/>
      <c r="F25" s="675">
        <f t="shared" si="2"/>
        <v>0</v>
      </c>
    </row>
    <row r="26" spans="1:6" s="764" customFormat="1" ht="29">
      <c r="A26" s="681"/>
      <c r="B26" s="616" t="s">
        <v>1092</v>
      </c>
      <c r="C26" s="617"/>
      <c r="D26" s="617"/>
      <c r="E26" s="618"/>
      <c r="F26" s="675">
        <f t="shared" si="2"/>
        <v>0</v>
      </c>
    </row>
    <row r="27" spans="1:6" s="764" customFormat="1">
      <c r="A27" s="681" t="s">
        <v>1480</v>
      </c>
      <c r="B27" s="616" t="s">
        <v>1094</v>
      </c>
      <c r="C27" s="617" t="s">
        <v>879</v>
      </c>
      <c r="D27" s="617">
        <v>80</v>
      </c>
      <c r="E27" s="618"/>
      <c r="F27" s="675">
        <f t="shared" si="2"/>
        <v>0</v>
      </c>
    </row>
    <row r="28" spans="1:6" s="764" customFormat="1" ht="29">
      <c r="A28" s="681" t="s">
        <v>1481</v>
      </c>
      <c r="B28" s="616" t="s">
        <v>447</v>
      </c>
      <c r="C28" s="617" t="s">
        <v>588</v>
      </c>
      <c r="D28" s="617">
        <f>D11</f>
        <v>54</v>
      </c>
      <c r="E28" s="618"/>
      <c r="F28" s="675">
        <f t="shared" si="2"/>
        <v>0</v>
      </c>
    </row>
    <row r="29" spans="1:6" s="764" customFormat="1">
      <c r="A29" s="681"/>
      <c r="B29" s="674" t="s">
        <v>1096</v>
      </c>
      <c r="C29" s="617"/>
      <c r="D29" s="617"/>
      <c r="E29" s="618"/>
      <c r="F29" s="675">
        <f t="shared" si="2"/>
        <v>0</v>
      </c>
    </row>
    <row r="30" spans="1:6" s="764" customFormat="1" ht="16.5">
      <c r="A30" s="681" t="s">
        <v>1482</v>
      </c>
      <c r="B30" s="616" t="s">
        <v>185</v>
      </c>
      <c r="C30" s="617" t="s">
        <v>588</v>
      </c>
      <c r="D30" s="617">
        <v>15</v>
      </c>
      <c r="E30" s="618"/>
      <c r="F30" s="675">
        <f t="shared" si="2"/>
        <v>0</v>
      </c>
    </row>
    <row r="31" spans="1:6" s="764" customFormat="1">
      <c r="A31" s="681"/>
      <c r="B31" s="674" t="s">
        <v>1097</v>
      </c>
      <c r="C31" s="617"/>
      <c r="D31" s="617"/>
      <c r="E31" s="618"/>
      <c r="F31" s="675">
        <f t="shared" si="2"/>
        <v>0</v>
      </c>
    </row>
    <row r="32" spans="1:6" s="764" customFormat="1" ht="29">
      <c r="A32" s="763" t="s">
        <v>1483</v>
      </c>
      <c r="B32" s="616" t="s">
        <v>448</v>
      </c>
      <c r="C32" s="617" t="s">
        <v>588</v>
      </c>
      <c r="D32" s="617">
        <f>D11</f>
        <v>54</v>
      </c>
      <c r="E32" s="618"/>
      <c r="F32" s="675">
        <f t="shared" si="2"/>
        <v>0</v>
      </c>
    </row>
    <row r="33" spans="1:7" s="764" customFormat="1">
      <c r="A33" s="681"/>
      <c r="B33" s="674"/>
      <c r="C33" s="617"/>
      <c r="D33" s="617"/>
      <c r="E33" s="618"/>
      <c r="F33" s="675">
        <f t="shared" si="2"/>
        <v>0</v>
      </c>
    </row>
    <row r="34" spans="1:7" s="764" customFormat="1" ht="29">
      <c r="A34" s="681" t="s">
        <v>1484</v>
      </c>
      <c r="B34" s="616" t="s">
        <v>367</v>
      </c>
      <c r="C34" s="617" t="s">
        <v>588</v>
      </c>
      <c r="D34" s="617">
        <f>D32</f>
        <v>54</v>
      </c>
      <c r="E34" s="618"/>
      <c r="F34" s="675">
        <f t="shared" si="2"/>
        <v>0</v>
      </c>
    </row>
    <row r="35" spans="1:7" s="764" customFormat="1">
      <c r="A35" s="681"/>
      <c r="B35" s="616"/>
      <c r="C35" s="617"/>
      <c r="D35" s="617"/>
      <c r="E35" s="618"/>
      <c r="F35" s="675"/>
    </row>
    <row r="36" spans="1:7" ht="15" customHeight="1">
      <c r="A36" s="780" t="s">
        <v>0</v>
      </c>
      <c r="B36" s="823" t="s">
        <v>1</v>
      </c>
      <c r="C36" s="780" t="s">
        <v>2</v>
      </c>
      <c r="D36" s="781" t="s">
        <v>426</v>
      </c>
      <c r="E36" s="782" t="s">
        <v>368</v>
      </c>
      <c r="F36" s="783" t="s">
        <v>472</v>
      </c>
      <c r="G36" s="819"/>
    </row>
    <row r="37" spans="1:7" s="764" customFormat="1">
      <c r="A37" s="681"/>
      <c r="B37" s="674" t="s">
        <v>35</v>
      </c>
      <c r="C37" s="648"/>
      <c r="D37" s="617"/>
      <c r="E37" s="618"/>
      <c r="F37" s="675">
        <f t="shared" ref="F37:F45" si="3">D37*E37</f>
        <v>0</v>
      </c>
    </row>
    <row r="38" spans="1:7" s="764" customFormat="1" ht="16.25" customHeight="1">
      <c r="A38" s="681" t="s">
        <v>1485</v>
      </c>
      <c r="B38" s="616" t="s">
        <v>36</v>
      </c>
      <c r="C38" s="648"/>
      <c r="D38" s="617"/>
      <c r="E38" s="618"/>
      <c r="F38" s="675">
        <f t="shared" si="3"/>
        <v>0</v>
      </c>
    </row>
    <row r="39" spans="1:7" s="764" customFormat="1">
      <c r="A39" s="681"/>
      <c r="B39" s="616" t="s">
        <v>37</v>
      </c>
      <c r="C39" s="648"/>
      <c r="D39" s="617"/>
      <c r="E39" s="618"/>
      <c r="F39" s="675">
        <f t="shared" si="3"/>
        <v>0</v>
      </c>
    </row>
    <row r="40" spans="1:7" s="764" customFormat="1" ht="16.5">
      <c r="A40" s="681"/>
      <c r="B40" s="616" t="s">
        <v>160</v>
      </c>
      <c r="C40" s="617" t="s">
        <v>588</v>
      </c>
      <c r="D40" s="617">
        <f>D34</f>
        <v>54</v>
      </c>
      <c r="E40" s="618"/>
      <c r="F40" s="675">
        <f t="shared" si="3"/>
        <v>0</v>
      </c>
    </row>
    <row r="41" spans="1:7" s="764" customFormat="1">
      <c r="A41" s="681"/>
      <c r="B41" s="674" t="s">
        <v>38</v>
      </c>
      <c r="C41" s="648"/>
      <c r="D41" s="617"/>
      <c r="E41" s="618"/>
      <c r="F41" s="675">
        <f t="shared" si="3"/>
        <v>0</v>
      </c>
    </row>
    <row r="42" spans="1:7" s="764" customFormat="1" ht="16.5">
      <c r="A42" s="681" t="s">
        <v>1486</v>
      </c>
      <c r="B42" s="616" t="s">
        <v>39</v>
      </c>
      <c r="C42" s="617" t="s">
        <v>588</v>
      </c>
      <c r="D42" s="617">
        <f>D40</f>
        <v>54</v>
      </c>
      <c r="E42" s="618"/>
      <c r="F42" s="675">
        <f t="shared" si="3"/>
        <v>0</v>
      </c>
    </row>
    <row r="43" spans="1:7" s="764" customFormat="1">
      <c r="A43" s="681"/>
      <c r="B43" s="616" t="s">
        <v>40</v>
      </c>
      <c r="C43" s="617"/>
      <c r="D43" s="617"/>
      <c r="E43" s="618"/>
      <c r="F43" s="675">
        <f t="shared" si="3"/>
        <v>0</v>
      </c>
    </row>
    <row r="44" spans="1:7" s="764" customFormat="1">
      <c r="A44" s="681"/>
      <c r="B44" s="616" t="s">
        <v>41</v>
      </c>
      <c r="C44" s="648"/>
      <c r="D44" s="617"/>
      <c r="E44" s="618"/>
      <c r="F44" s="675">
        <f t="shared" si="3"/>
        <v>0</v>
      </c>
    </row>
    <row r="45" spans="1:7" s="764" customFormat="1">
      <c r="A45" s="681"/>
      <c r="B45" s="616" t="s">
        <v>42</v>
      </c>
      <c r="C45" s="648"/>
      <c r="D45" s="617"/>
      <c r="E45" s="618"/>
      <c r="F45" s="675">
        <f t="shared" si="3"/>
        <v>0</v>
      </c>
    </row>
    <row r="46" spans="1:7" s="765" customFormat="1">
      <c r="A46" s="690"/>
      <c r="B46" s="635" t="s">
        <v>1507</v>
      </c>
      <c r="C46" s="639"/>
      <c r="D46" s="715"/>
      <c r="E46" s="688"/>
      <c r="F46" s="789">
        <f>SUM(F4:F45)</f>
        <v>0</v>
      </c>
    </row>
    <row r="47" spans="1:7" s="765" customFormat="1">
      <c r="A47" s="690"/>
      <c r="B47" s="635"/>
      <c r="C47" s="639"/>
      <c r="D47" s="715"/>
      <c r="E47" s="688"/>
      <c r="F47" s="789"/>
    </row>
    <row r="48" spans="1:7" s="764" customFormat="1">
      <c r="A48" s="681"/>
      <c r="B48" s="674" t="s">
        <v>1100</v>
      </c>
      <c r="C48" s="648"/>
      <c r="D48" s="617"/>
      <c r="E48" s="618"/>
      <c r="F48" s="675">
        <f t="shared" ref="F48:F59" si="4">D48*E48</f>
        <v>0</v>
      </c>
    </row>
    <row r="49" spans="1:6" s="764" customFormat="1">
      <c r="A49" s="681">
        <v>7.2</v>
      </c>
      <c r="B49" s="674" t="s">
        <v>1101</v>
      </c>
      <c r="C49" s="648"/>
      <c r="D49" s="617"/>
      <c r="E49" s="618"/>
      <c r="F49" s="675">
        <f t="shared" si="4"/>
        <v>0</v>
      </c>
    </row>
    <row r="50" spans="1:6" s="764" customFormat="1">
      <c r="A50" s="681" t="s">
        <v>1487</v>
      </c>
      <c r="B50" s="616" t="s">
        <v>1102</v>
      </c>
      <c r="C50" s="648"/>
      <c r="D50" s="617"/>
      <c r="E50" s="618"/>
      <c r="F50" s="675">
        <f t="shared" si="4"/>
        <v>0</v>
      </c>
    </row>
    <row r="51" spans="1:6" s="764" customFormat="1" ht="16.5">
      <c r="A51" s="681" t="s">
        <v>1488</v>
      </c>
      <c r="B51" s="616" t="s">
        <v>1065</v>
      </c>
      <c r="C51" s="617" t="s">
        <v>842</v>
      </c>
      <c r="D51" s="617">
        <v>10</v>
      </c>
      <c r="E51" s="618"/>
      <c r="F51" s="675">
        <f t="shared" si="4"/>
        <v>0</v>
      </c>
    </row>
    <row r="52" spans="1:6" s="764" customFormat="1">
      <c r="A52" s="681"/>
      <c r="B52" s="635" t="s">
        <v>443</v>
      </c>
      <c r="C52" s="617"/>
      <c r="D52" s="617"/>
      <c r="E52" s="618"/>
      <c r="F52" s="675">
        <f t="shared" si="4"/>
        <v>0</v>
      </c>
    </row>
    <row r="53" spans="1:6" s="764" customFormat="1" ht="16.5">
      <c r="A53" s="681" t="s">
        <v>1489</v>
      </c>
      <c r="B53" s="616" t="s">
        <v>1103</v>
      </c>
      <c r="C53" s="617" t="s">
        <v>588</v>
      </c>
      <c r="D53" s="617">
        <v>50</v>
      </c>
      <c r="E53" s="618"/>
      <c r="F53" s="675">
        <f t="shared" si="4"/>
        <v>0</v>
      </c>
    </row>
    <row r="54" spans="1:6" s="764" customFormat="1">
      <c r="A54" s="681"/>
      <c r="B54" s="674" t="s">
        <v>446</v>
      </c>
      <c r="C54" s="648"/>
      <c r="D54" s="617"/>
      <c r="E54" s="618"/>
      <c r="F54" s="675">
        <f t="shared" si="4"/>
        <v>0</v>
      </c>
    </row>
    <row r="55" spans="1:6" s="764" customFormat="1" ht="29">
      <c r="A55" s="681"/>
      <c r="B55" s="616" t="s">
        <v>1092</v>
      </c>
      <c r="C55" s="648"/>
      <c r="D55" s="617"/>
      <c r="E55" s="618"/>
      <c r="F55" s="675">
        <f t="shared" si="4"/>
        <v>0</v>
      </c>
    </row>
    <row r="56" spans="1:6" s="764" customFormat="1">
      <c r="A56" s="681" t="s">
        <v>1490</v>
      </c>
      <c r="B56" s="616" t="s">
        <v>1104</v>
      </c>
      <c r="C56" s="648" t="s">
        <v>19</v>
      </c>
      <c r="D56" s="617">
        <v>60</v>
      </c>
      <c r="E56" s="618"/>
      <c r="F56" s="675">
        <f t="shared" si="4"/>
        <v>0</v>
      </c>
    </row>
    <row r="57" spans="1:6" s="765" customFormat="1">
      <c r="A57" s="690"/>
      <c r="B57" s="635" t="s">
        <v>1507</v>
      </c>
      <c r="C57" s="639"/>
      <c r="D57" s="715"/>
      <c r="E57" s="688"/>
      <c r="F57" s="789">
        <f>SUM(F48:F56)</f>
        <v>0</v>
      </c>
    </row>
    <row r="58" spans="1:6" s="765" customFormat="1">
      <c r="A58" s="690"/>
      <c r="B58" s="635"/>
      <c r="C58" s="639"/>
      <c r="D58" s="715"/>
      <c r="E58" s="688"/>
      <c r="F58" s="789"/>
    </row>
    <row r="59" spans="1:6" s="764" customFormat="1">
      <c r="A59" s="681"/>
      <c r="B59" s="674" t="s">
        <v>1105</v>
      </c>
      <c r="C59" s="648"/>
      <c r="D59" s="617"/>
      <c r="E59" s="618"/>
      <c r="F59" s="675">
        <f t="shared" si="4"/>
        <v>0</v>
      </c>
    </row>
    <row r="60" spans="1:6" s="764" customFormat="1" ht="29">
      <c r="A60" s="681" t="s">
        <v>1508</v>
      </c>
      <c r="B60" s="616" t="s">
        <v>1106</v>
      </c>
      <c r="C60" s="617" t="s">
        <v>441</v>
      </c>
      <c r="D60" s="617">
        <v>18</v>
      </c>
      <c r="E60" s="618"/>
      <c r="F60" s="675">
        <f t="shared" ref="F60:F77" si="5">D60*E60</f>
        <v>0</v>
      </c>
    </row>
    <row r="61" spans="1:6" s="764" customFormat="1" ht="72.5">
      <c r="A61" s="681"/>
      <c r="B61" s="691" t="s">
        <v>1107</v>
      </c>
      <c r="C61" s="648"/>
      <c r="D61" s="617"/>
      <c r="E61" s="618"/>
      <c r="F61" s="675">
        <f t="shared" si="5"/>
        <v>0</v>
      </c>
    </row>
    <row r="62" spans="1:6" s="764" customFormat="1">
      <c r="A62" s="681" t="s">
        <v>1509</v>
      </c>
      <c r="B62" s="616" t="s">
        <v>1040</v>
      </c>
      <c r="C62" s="617" t="s">
        <v>50</v>
      </c>
      <c r="D62" s="617">
        <v>52</v>
      </c>
      <c r="E62" s="618"/>
      <c r="F62" s="675">
        <f t="shared" si="5"/>
        <v>0</v>
      </c>
    </row>
    <row r="63" spans="1:6" s="765" customFormat="1">
      <c r="A63" s="690"/>
      <c r="B63" s="635" t="s">
        <v>1507</v>
      </c>
      <c r="C63" s="715"/>
      <c r="D63" s="715"/>
      <c r="E63" s="688"/>
      <c r="F63" s="789">
        <f>SUM(F59:F62)</f>
        <v>0</v>
      </c>
    </row>
    <row r="64" spans="1:6" s="764" customFormat="1">
      <c r="A64" s="681"/>
      <c r="B64" s="616"/>
      <c r="C64" s="617"/>
      <c r="D64" s="617"/>
      <c r="E64" s="618"/>
      <c r="F64" s="675"/>
    </row>
    <row r="65" spans="1:7" s="764" customFormat="1">
      <c r="A65" s="681"/>
      <c r="B65" s="616"/>
      <c r="C65" s="617"/>
      <c r="D65" s="617"/>
      <c r="E65" s="618"/>
      <c r="F65" s="675"/>
    </row>
    <row r="66" spans="1:7" s="764" customFormat="1">
      <c r="A66" s="681"/>
      <c r="B66" s="616"/>
      <c r="C66" s="617"/>
      <c r="D66" s="617"/>
      <c r="E66" s="618"/>
      <c r="F66" s="675"/>
    </row>
    <row r="67" spans="1:7" s="764" customFormat="1">
      <c r="A67" s="681"/>
      <c r="B67" s="616"/>
      <c r="C67" s="617"/>
      <c r="D67" s="617"/>
      <c r="E67" s="618"/>
      <c r="F67" s="675"/>
    </row>
    <row r="68" spans="1:7" s="764" customFormat="1">
      <c r="A68" s="681"/>
      <c r="B68" s="616"/>
      <c r="C68" s="617"/>
      <c r="D68" s="617"/>
      <c r="E68" s="618"/>
      <c r="F68" s="675"/>
    </row>
    <row r="69" spans="1:7" s="764" customFormat="1">
      <c r="A69" s="681"/>
      <c r="B69" s="616"/>
      <c r="C69" s="617"/>
      <c r="D69" s="617"/>
      <c r="E69" s="618"/>
      <c r="F69" s="675"/>
    </row>
    <row r="70" spans="1:7" s="764" customFormat="1">
      <c r="A70" s="681"/>
      <c r="B70" s="616"/>
      <c r="C70" s="617"/>
      <c r="D70" s="617"/>
      <c r="E70" s="618"/>
      <c r="F70" s="675"/>
    </row>
    <row r="71" spans="1:7" s="764" customFormat="1">
      <c r="A71" s="681"/>
      <c r="B71" s="616"/>
      <c r="C71" s="617"/>
      <c r="D71" s="617"/>
      <c r="E71" s="618"/>
      <c r="F71" s="675"/>
    </row>
    <row r="72" spans="1:7" s="764" customFormat="1">
      <c r="A72" s="681"/>
      <c r="B72" s="616"/>
      <c r="C72" s="617"/>
      <c r="D72" s="617"/>
      <c r="E72" s="618"/>
      <c r="F72" s="675"/>
    </row>
    <row r="73" spans="1:7" s="764" customFormat="1">
      <c r="A73" s="681"/>
      <c r="B73" s="616"/>
      <c r="C73" s="617"/>
      <c r="D73" s="617"/>
      <c r="E73" s="618"/>
      <c r="F73" s="675"/>
    </row>
    <row r="74" spans="1:7" s="764" customFormat="1">
      <c r="A74" s="681"/>
      <c r="B74" s="616"/>
      <c r="C74" s="617"/>
      <c r="D74" s="617"/>
      <c r="E74" s="618"/>
      <c r="F74" s="675"/>
    </row>
    <row r="75" spans="1:7" s="764" customFormat="1">
      <c r="A75" s="681"/>
      <c r="B75" s="616"/>
      <c r="C75" s="617"/>
      <c r="D75" s="617"/>
      <c r="E75" s="618"/>
      <c r="F75" s="675"/>
    </row>
    <row r="76" spans="1:7" ht="15" customHeight="1">
      <c r="A76" s="780" t="s">
        <v>0</v>
      </c>
      <c r="B76" s="823" t="s">
        <v>1</v>
      </c>
      <c r="C76" s="780" t="s">
        <v>2</v>
      </c>
      <c r="D76" s="781" t="s">
        <v>426</v>
      </c>
      <c r="E76" s="782" t="s">
        <v>368</v>
      </c>
      <c r="F76" s="783" t="s">
        <v>472</v>
      </c>
      <c r="G76" s="819"/>
    </row>
    <row r="77" spans="1:7">
      <c r="A77" s="690">
        <v>7.4</v>
      </c>
      <c r="B77" s="674" t="s">
        <v>1108</v>
      </c>
      <c r="C77" s="766"/>
      <c r="E77" s="618"/>
      <c r="F77" s="768">
        <f t="shared" si="5"/>
        <v>0</v>
      </c>
      <c r="G77" s="819"/>
    </row>
    <row r="78" spans="1:7" s="774" customFormat="1">
      <c r="A78" s="769" t="s">
        <v>34</v>
      </c>
      <c r="B78" s="770" t="s">
        <v>369</v>
      </c>
      <c r="C78" s="769" t="s">
        <v>34</v>
      </c>
      <c r="D78" s="771" t="s">
        <v>34</v>
      </c>
      <c r="E78" s="772"/>
      <c r="F78" s="773" t="s">
        <v>371</v>
      </c>
      <c r="G78" s="820"/>
    </row>
    <row r="79" spans="1:7" s="774" customFormat="1">
      <c r="A79" s="769" t="s">
        <v>34</v>
      </c>
      <c r="B79" s="770" t="s">
        <v>373</v>
      </c>
      <c r="C79" s="769" t="s">
        <v>34</v>
      </c>
      <c r="D79" s="771" t="s">
        <v>34</v>
      </c>
      <c r="E79" s="772"/>
      <c r="F79" s="773" t="s">
        <v>371</v>
      </c>
      <c r="G79" s="820"/>
    </row>
    <row r="80" spans="1:7" s="774" customFormat="1" ht="29">
      <c r="A80" s="775" t="s">
        <v>1491</v>
      </c>
      <c r="B80" s="769" t="s">
        <v>1109</v>
      </c>
      <c r="C80" s="769" t="s">
        <v>33</v>
      </c>
      <c r="D80" s="771">
        <v>66</v>
      </c>
      <c r="E80" s="772"/>
      <c r="F80" s="773">
        <f>E80*D80</f>
        <v>0</v>
      </c>
      <c r="G80" s="820"/>
    </row>
    <row r="81" spans="1:7" s="774" customFormat="1">
      <c r="A81" s="769" t="s">
        <v>1510</v>
      </c>
      <c r="B81" s="769" t="s">
        <v>375</v>
      </c>
      <c r="C81" s="769" t="s">
        <v>50</v>
      </c>
      <c r="D81" s="771">
        <v>6</v>
      </c>
      <c r="E81" s="772"/>
      <c r="F81" s="773">
        <f>E81*D81</f>
        <v>0</v>
      </c>
      <c r="G81" s="820"/>
    </row>
    <row r="82" spans="1:7" s="774" customFormat="1">
      <c r="A82" s="769" t="s">
        <v>34</v>
      </c>
      <c r="B82" s="770" t="s">
        <v>376</v>
      </c>
      <c r="C82" s="769" t="s">
        <v>34</v>
      </c>
      <c r="D82" s="771" t="s">
        <v>34</v>
      </c>
      <c r="E82" s="772"/>
      <c r="F82" s="773"/>
      <c r="G82" s="820"/>
    </row>
    <row r="83" spans="1:7" s="774" customFormat="1">
      <c r="A83" s="769" t="s">
        <v>34</v>
      </c>
      <c r="B83" s="769" t="s">
        <v>377</v>
      </c>
      <c r="C83" s="769" t="s">
        <v>34</v>
      </c>
      <c r="D83" s="771"/>
      <c r="E83" s="772"/>
      <c r="F83" s="773"/>
      <c r="G83" s="820"/>
    </row>
    <row r="84" spans="1:7" s="774" customFormat="1">
      <c r="A84" s="769" t="s">
        <v>34</v>
      </c>
      <c r="B84" s="769" t="s">
        <v>1110</v>
      </c>
      <c r="C84" s="769" t="s">
        <v>34</v>
      </c>
      <c r="D84" s="771"/>
      <c r="E84" s="772"/>
      <c r="F84" s="773"/>
      <c r="G84" s="820"/>
    </row>
    <row r="85" spans="1:7" s="774" customFormat="1">
      <c r="A85" s="769" t="s">
        <v>1511</v>
      </c>
      <c r="B85" s="769" t="s">
        <v>1111</v>
      </c>
      <c r="C85" s="769" t="s">
        <v>50</v>
      </c>
      <c r="D85" s="771">
        <v>50</v>
      </c>
      <c r="E85" s="772"/>
      <c r="F85" s="773">
        <f t="shared" ref="F85:F91" si="6">E85*D85</f>
        <v>0</v>
      </c>
      <c r="G85" s="820"/>
    </row>
    <row r="86" spans="1:7" s="774" customFormat="1">
      <c r="A86" s="769" t="s">
        <v>1510</v>
      </c>
      <c r="B86" s="769" t="s">
        <v>1112</v>
      </c>
      <c r="C86" s="769" t="s">
        <v>50</v>
      </c>
      <c r="D86" s="771">
        <v>92</v>
      </c>
      <c r="E86" s="772"/>
      <c r="F86" s="773">
        <f t="shared" si="6"/>
        <v>0</v>
      </c>
      <c r="G86" s="820"/>
    </row>
    <row r="87" spans="1:7" s="774" customFormat="1">
      <c r="A87" s="769" t="s">
        <v>1512</v>
      </c>
      <c r="B87" s="769" t="s">
        <v>1113</v>
      </c>
      <c r="C87" s="769" t="s">
        <v>50</v>
      </c>
      <c r="D87" s="771">
        <v>60</v>
      </c>
      <c r="E87" s="772"/>
      <c r="F87" s="773">
        <f t="shared" si="6"/>
        <v>0</v>
      </c>
      <c r="G87" s="820"/>
    </row>
    <row r="88" spans="1:7" s="774" customFormat="1">
      <c r="A88" s="769" t="s">
        <v>1513</v>
      </c>
      <c r="B88" s="769" t="s">
        <v>1114</v>
      </c>
      <c r="C88" s="769" t="s">
        <v>50</v>
      </c>
      <c r="D88" s="771">
        <v>6</v>
      </c>
      <c r="E88" s="772"/>
      <c r="F88" s="773">
        <f t="shared" si="6"/>
        <v>0</v>
      </c>
      <c r="G88" s="820"/>
    </row>
    <row r="89" spans="1:7" s="774" customFormat="1">
      <c r="A89" s="769" t="s">
        <v>1514</v>
      </c>
      <c r="B89" s="769" t="s">
        <v>382</v>
      </c>
      <c r="C89" s="769" t="s">
        <v>50</v>
      </c>
      <c r="D89" s="771">
        <v>42</v>
      </c>
      <c r="E89" s="772"/>
      <c r="F89" s="773">
        <f t="shared" si="6"/>
        <v>0</v>
      </c>
      <c r="G89" s="820"/>
    </row>
    <row r="90" spans="1:7" s="774" customFormat="1">
      <c r="A90" s="769" t="s">
        <v>1515</v>
      </c>
      <c r="B90" s="769" t="s">
        <v>384</v>
      </c>
      <c r="C90" s="769" t="s">
        <v>50</v>
      </c>
      <c r="D90" s="771">
        <v>6</v>
      </c>
      <c r="E90" s="772"/>
      <c r="F90" s="773">
        <f t="shared" si="6"/>
        <v>0</v>
      </c>
      <c r="G90" s="820"/>
    </row>
    <row r="91" spans="1:7" s="774" customFormat="1">
      <c r="A91" s="769"/>
      <c r="B91" s="769" t="s">
        <v>1115</v>
      </c>
      <c r="C91" s="769" t="s">
        <v>50</v>
      </c>
      <c r="D91" s="771">
        <v>12</v>
      </c>
      <c r="E91" s="772"/>
      <c r="F91" s="773">
        <f t="shared" si="6"/>
        <v>0</v>
      </c>
      <c r="G91" s="820"/>
    </row>
    <row r="92" spans="1:7" s="774" customFormat="1">
      <c r="A92" s="769"/>
      <c r="B92" s="770" t="s">
        <v>395</v>
      </c>
      <c r="C92" s="769" t="s">
        <v>34</v>
      </c>
      <c r="D92" s="771" t="s">
        <v>34</v>
      </c>
      <c r="E92" s="772"/>
      <c r="F92" s="773"/>
      <c r="G92" s="820"/>
    </row>
    <row r="93" spans="1:7" s="774" customFormat="1" ht="43.5">
      <c r="A93" s="769" t="s">
        <v>1516</v>
      </c>
      <c r="B93" s="769" t="s">
        <v>1116</v>
      </c>
      <c r="C93" s="769" t="s">
        <v>50</v>
      </c>
      <c r="D93" s="771">
        <v>12</v>
      </c>
      <c r="E93" s="772"/>
      <c r="F93" s="773">
        <f>E93*D93</f>
        <v>0</v>
      </c>
      <c r="G93" s="820"/>
    </row>
    <row r="94" spans="1:7" s="774" customFormat="1" ht="29">
      <c r="A94" s="769" t="s">
        <v>1517</v>
      </c>
      <c r="B94" s="769" t="s">
        <v>398</v>
      </c>
      <c r="C94" s="769" t="s">
        <v>50</v>
      </c>
      <c r="D94" s="771">
        <v>4</v>
      </c>
      <c r="E94" s="772"/>
      <c r="F94" s="773">
        <f>E94*D94</f>
        <v>0</v>
      </c>
      <c r="G94" s="820"/>
    </row>
    <row r="95" spans="1:7" s="774" customFormat="1" ht="13.75" customHeight="1">
      <c r="A95" s="769" t="s">
        <v>1518</v>
      </c>
      <c r="B95" s="769" t="s">
        <v>399</v>
      </c>
      <c r="C95" s="769" t="s">
        <v>387</v>
      </c>
      <c r="D95" s="771">
        <f>D94</f>
        <v>4</v>
      </c>
      <c r="E95" s="772"/>
      <c r="F95" s="773">
        <f>E95*D95</f>
        <v>0</v>
      </c>
      <c r="G95" s="820"/>
    </row>
    <row r="96" spans="1:7" s="774" customFormat="1" ht="16.75" customHeight="1">
      <c r="A96" s="769" t="s">
        <v>1519</v>
      </c>
      <c r="B96" s="769" t="s">
        <v>400</v>
      </c>
      <c r="C96" s="769" t="s">
        <v>387</v>
      </c>
      <c r="D96" s="771">
        <f>D95</f>
        <v>4</v>
      </c>
      <c r="E96" s="772"/>
      <c r="F96" s="773">
        <f>E96*D96</f>
        <v>0</v>
      </c>
      <c r="G96" s="820"/>
    </row>
    <row r="97" spans="1:7" s="774" customFormat="1" ht="18.649999999999999" customHeight="1">
      <c r="A97" s="769"/>
      <c r="B97" s="770" t="s">
        <v>401</v>
      </c>
      <c r="C97" s="769" t="s">
        <v>34</v>
      </c>
      <c r="D97" s="771" t="s">
        <v>34</v>
      </c>
      <c r="E97" s="772"/>
      <c r="F97" s="773"/>
      <c r="G97" s="820"/>
    </row>
    <row r="98" spans="1:7" s="774" customFormat="1" ht="14.4" customHeight="1">
      <c r="A98" s="769" t="s">
        <v>1520</v>
      </c>
      <c r="B98" s="769" t="s">
        <v>402</v>
      </c>
      <c r="C98" s="769" t="s">
        <v>50</v>
      </c>
      <c r="D98" s="771">
        <f>D91</f>
        <v>12</v>
      </c>
      <c r="E98" s="772"/>
      <c r="F98" s="773">
        <f>E98*D98</f>
        <v>0</v>
      </c>
      <c r="G98" s="820"/>
    </row>
    <row r="99" spans="1:7" s="774" customFormat="1" ht="16.75" customHeight="1">
      <c r="A99" s="769" t="s">
        <v>1521</v>
      </c>
      <c r="B99" s="769" t="s">
        <v>403</v>
      </c>
      <c r="C99" s="769" t="s">
        <v>50</v>
      </c>
      <c r="D99" s="771">
        <f>D93*1</f>
        <v>12</v>
      </c>
      <c r="E99" s="772"/>
      <c r="F99" s="773">
        <f>E99*D99</f>
        <v>0</v>
      </c>
      <c r="G99" s="820"/>
    </row>
    <row r="100" spans="1:7" s="779" customFormat="1">
      <c r="A100" s="776"/>
      <c r="B100" s="635" t="s">
        <v>1507</v>
      </c>
      <c r="C100" s="690"/>
      <c r="D100" s="777"/>
      <c r="E100" s="688"/>
      <c r="F100" s="778">
        <f>SUM(F78:F99)</f>
        <v>0</v>
      </c>
      <c r="G100" s="821"/>
    </row>
    <row r="101" spans="1:7" s="779" customFormat="1">
      <c r="A101" s="776"/>
      <c r="B101" s="635"/>
      <c r="C101" s="690"/>
      <c r="D101" s="777"/>
      <c r="E101" s="688"/>
      <c r="F101" s="778"/>
      <c r="G101" s="821"/>
    </row>
    <row r="102" spans="1:7">
      <c r="A102" s="780">
        <v>7.5</v>
      </c>
      <c r="B102" s="674" t="s">
        <v>1117</v>
      </c>
      <c r="C102" s="780"/>
      <c r="D102" s="781"/>
      <c r="E102" s="782"/>
      <c r="F102" s="783"/>
      <c r="G102" s="819"/>
    </row>
    <row r="103" spans="1:7" ht="43.5">
      <c r="A103" s="780"/>
      <c r="B103" s="649" t="s">
        <v>1118</v>
      </c>
      <c r="C103" s="648"/>
      <c r="E103" s="618"/>
      <c r="G103" s="819"/>
    </row>
    <row r="104" spans="1:7">
      <c r="A104" s="784" t="s">
        <v>1492</v>
      </c>
      <c r="B104" s="616" t="s">
        <v>1119</v>
      </c>
      <c r="C104" s="648" t="s">
        <v>5</v>
      </c>
      <c r="D104" s="767">
        <v>7</v>
      </c>
      <c r="E104" s="618"/>
      <c r="F104" s="768">
        <f>D104*E104</f>
        <v>0</v>
      </c>
      <c r="G104" s="819"/>
    </row>
    <row r="105" spans="1:7">
      <c r="B105" s="616" t="s">
        <v>1120</v>
      </c>
      <c r="C105" s="648" t="s">
        <v>5</v>
      </c>
      <c r="D105" s="767">
        <v>2</v>
      </c>
      <c r="E105" s="618"/>
      <c r="F105" s="768">
        <f>D105*E105</f>
        <v>0</v>
      </c>
      <c r="G105" s="819"/>
    </row>
    <row r="106" spans="1:7" ht="43.5">
      <c r="A106" s="784" t="s">
        <v>1493</v>
      </c>
      <c r="B106" s="616" t="s">
        <v>1121</v>
      </c>
      <c r="C106" s="648" t="s">
        <v>445</v>
      </c>
      <c r="D106" s="767">
        <v>15</v>
      </c>
      <c r="E106" s="618"/>
      <c r="F106" s="768">
        <f>D106*E106</f>
        <v>0</v>
      </c>
      <c r="G106" s="819"/>
    </row>
    <row r="107" spans="1:7" s="786" customFormat="1">
      <c r="A107" s="780"/>
      <c r="B107" s="635"/>
      <c r="C107" s="639"/>
      <c r="D107" s="785"/>
      <c r="E107" s="688"/>
      <c r="F107" s="778"/>
      <c r="G107" s="822"/>
    </row>
    <row r="108" spans="1:7" s="786" customFormat="1">
      <c r="A108" s="780"/>
      <c r="B108" s="635"/>
      <c r="C108" s="639"/>
      <c r="D108" s="785"/>
      <c r="E108" s="688"/>
      <c r="F108" s="778"/>
      <c r="G108" s="822"/>
    </row>
    <row r="109" spans="1:7" s="786" customFormat="1">
      <c r="A109" s="780"/>
      <c r="B109" s="635" t="s">
        <v>1604</v>
      </c>
      <c r="C109" s="639"/>
      <c r="D109" s="785"/>
      <c r="E109" s="688"/>
      <c r="F109" s="778">
        <f>SUM(F104:F108)</f>
        <v>0</v>
      </c>
      <c r="G109" s="822"/>
    </row>
    <row r="110" spans="1:7" s="786" customFormat="1" ht="16.25" customHeight="1">
      <c r="A110" s="780"/>
      <c r="B110" s="635"/>
      <c r="C110" s="639"/>
      <c r="D110" s="785"/>
      <c r="E110" s="688"/>
      <c r="F110" s="778"/>
      <c r="G110" s="822"/>
    </row>
    <row r="111" spans="1:7" s="786" customFormat="1" ht="16.25" customHeight="1">
      <c r="A111" s="780"/>
      <c r="B111" s="635"/>
      <c r="C111" s="639"/>
      <c r="D111" s="785"/>
      <c r="E111" s="688"/>
      <c r="F111" s="778"/>
      <c r="G111" s="822"/>
    </row>
    <row r="112" spans="1:7" s="786" customFormat="1" ht="16.25" customHeight="1">
      <c r="A112" s="780"/>
      <c r="B112" s="635"/>
      <c r="C112" s="639"/>
      <c r="D112" s="785"/>
      <c r="E112" s="688"/>
      <c r="F112" s="778"/>
      <c r="G112" s="822"/>
    </row>
    <row r="113" spans="1:7" ht="15" customHeight="1">
      <c r="A113" s="780" t="s">
        <v>0</v>
      </c>
      <c r="B113" s="823" t="s">
        <v>1</v>
      </c>
      <c r="C113" s="780" t="s">
        <v>2</v>
      </c>
      <c r="D113" s="781" t="s">
        <v>426</v>
      </c>
      <c r="E113" s="782" t="s">
        <v>368</v>
      </c>
      <c r="F113" s="783" t="s">
        <v>472</v>
      </c>
      <c r="G113" s="819"/>
    </row>
    <row r="114" spans="1:7">
      <c r="A114" s="784">
        <v>7.6</v>
      </c>
      <c r="B114" s="674" t="s">
        <v>1122</v>
      </c>
      <c r="C114" s="780"/>
      <c r="D114" s="781"/>
      <c r="E114" s="782"/>
      <c r="F114" s="783"/>
      <c r="G114" s="819"/>
    </row>
    <row r="115" spans="1:7">
      <c r="B115" s="635" t="s">
        <v>1123</v>
      </c>
      <c r="C115" s="780"/>
      <c r="D115" s="781"/>
      <c r="E115" s="782"/>
      <c r="F115" s="783"/>
      <c r="G115" s="819"/>
    </row>
    <row r="116" spans="1:7" ht="58">
      <c r="A116" s="784" t="s">
        <v>1522</v>
      </c>
      <c r="B116" s="616" t="s">
        <v>1124</v>
      </c>
      <c r="C116" s="648" t="s">
        <v>5</v>
      </c>
      <c r="D116" s="767">
        <v>1</v>
      </c>
      <c r="E116" s="618"/>
      <c r="F116" s="768">
        <f>D116*E116</f>
        <v>0</v>
      </c>
      <c r="G116" s="819"/>
    </row>
    <row r="117" spans="1:7">
      <c r="B117" s="635" t="s">
        <v>1125</v>
      </c>
      <c r="C117" s="648"/>
      <c r="E117" s="618"/>
      <c r="F117" s="768">
        <f>D117*E117</f>
        <v>0</v>
      </c>
      <c r="G117" s="819"/>
    </row>
    <row r="118" spans="1:7" ht="58">
      <c r="A118" s="784" t="s">
        <v>1523</v>
      </c>
      <c r="B118" s="616" t="s">
        <v>1124</v>
      </c>
      <c r="C118" s="648" t="s">
        <v>5</v>
      </c>
      <c r="D118" s="767">
        <v>2</v>
      </c>
      <c r="E118" s="618"/>
      <c r="F118" s="768">
        <f>D118*E118</f>
        <v>0</v>
      </c>
      <c r="G118" s="819"/>
    </row>
    <row r="119" spans="1:7">
      <c r="A119" s="780"/>
      <c r="B119" s="635" t="s">
        <v>1524</v>
      </c>
      <c r="C119" s="639" t="s">
        <v>148</v>
      </c>
      <c r="D119" s="787"/>
      <c r="E119" s="788"/>
      <c r="F119" s="789">
        <f>SUM(F115:F118)</f>
        <v>0</v>
      </c>
      <c r="G119" s="819"/>
    </row>
    <row r="120" spans="1:7">
      <c r="A120" s="780"/>
      <c r="B120" s="635"/>
      <c r="C120" s="639"/>
      <c r="D120" s="787"/>
      <c r="E120" s="788"/>
      <c r="F120" s="789"/>
      <c r="G120" s="819"/>
    </row>
    <row r="121" spans="1:7">
      <c r="A121" s="780">
        <v>7.7</v>
      </c>
      <c r="B121" s="674" t="s">
        <v>1126</v>
      </c>
      <c r="C121" s="780"/>
      <c r="D121" s="781"/>
      <c r="E121" s="782"/>
      <c r="F121" s="768">
        <f t="shared" ref="F121:F143" si="7">D121*E121</f>
        <v>0</v>
      </c>
      <c r="G121" s="819"/>
    </row>
    <row r="122" spans="1:7">
      <c r="A122" s="681"/>
      <c r="B122" s="674" t="s">
        <v>18</v>
      </c>
      <c r="C122" s="648"/>
      <c r="E122" s="618"/>
      <c r="F122" s="768">
        <f t="shared" si="7"/>
        <v>0</v>
      </c>
      <c r="G122" s="819"/>
    </row>
    <row r="123" spans="1:7">
      <c r="A123" s="681"/>
      <c r="B123" s="649" t="s">
        <v>58</v>
      </c>
      <c r="C123" s="648"/>
      <c r="E123" s="618"/>
      <c r="F123" s="768">
        <f t="shared" si="7"/>
        <v>0</v>
      </c>
      <c r="G123" s="819"/>
    </row>
    <row r="124" spans="1:7">
      <c r="A124" s="681" t="s">
        <v>1859</v>
      </c>
      <c r="B124" s="616" t="s">
        <v>256</v>
      </c>
      <c r="C124" s="648"/>
      <c r="E124" s="618"/>
      <c r="F124" s="768">
        <f t="shared" si="7"/>
        <v>0</v>
      </c>
      <c r="G124" s="819"/>
    </row>
    <row r="125" spans="1:7">
      <c r="A125" s="681"/>
      <c r="B125" s="616" t="s">
        <v>257</v>
      </c>
      <c r="C125" s="617" t="s">
        <v>33</v>
      </c>
      <c r="D125" s="767">
        <f>D7</f>
        <v>54</v>
      </c>
      <c r="E125" s="618"/>
      <c r="F125" s="768">
        <f t="shared" si="7"/>
        <v>0</v>
      </c>
      <c r="G125" s="819"/>
    </row>
    <row r="126" spans="1:7">
      <c r="A126" s="681"/>
      <c r="B126" s="649" t="s">
        <v>187</v>
      </c>
      <c r="C126" s="648"/>
      <c r="E126" s="618"/>
      <c r="F126" s="768">
        <f t="shared" si="7"/>
        <v>0</v>
      </c>
      <c r="G126" s="819"/>
    </row>
    <row r="127" spans="1:7" ht="29">
      <c r="A127" s="681"/>
      <c r="B127" s="649" t="s">
        <v>1127</v>
      </c>
      <c r="C127" s="648"/>
      <c r="E127" s="618"/>
      <c r="F127" s="768">
        <f t="shared" si="7"/>
        <v>0</v>
      </c>
      <c r="G127" s="819"/>
    </row>
    <row r="128" spans="1:7">
      <c r="A128" s="681"/>
      <c r="B128" s="649" t="s">
        <v>1128</v>
      </c>
      <c r="C128" s="648"/>
      <c r="E128" s="618"/>
      <c r="F128" s="768">
        <f t="shared" si="7"/>
        <v>0</v>
      </c>
      <c r="G128" s="819"/>
    </row>
    <row r="129" spans="1:7">
      <c r="A129" s="681"/>
      <c r="B129" s="649" t="s">
        <v>1129</v>
      </c>
      <c r="C129" s="648"/>
      <c r="E129" s="618"/>
      <c r="F129" s="768">
        <f t="shared" si="7"/>
        <v>0</v>
      </c>
      <c r="G129" s="819"/>
    </row>
    <row r="130" spans="1:7" ht="16.5">
      <c r="A130" s="681" t="s">
        <v>1860</v>
      </c>
      <c r="B130" s="616" t="s">
        <v>261</v>
      </c>
      <c r="C130" s="617" t="s">
        <v>588</v>
      </c>
      <c r="D130" s="767">
        <f>D125</f>
        <v>54</v>
      </c>
      <c r="E130" s="618"/>
      <c r="F130" s="768">
        <f t="shared" si="7"/>
        <v>0</v>
      </c>
      <c r="G130" s="819"/>
    </row>
    <row r="131" spans="1:7">
      <c r="A131" s="681"/>
      <c r="B131" s="674" t="s">
        <v>262</v>
      </c>
      <c r="C131" s="763"/>
      <c r="F131" s="768">
        <f t="shared" si="7"/>
        <v>0</v>
      </c>
      <c r="G131" s="819"/>
    </row>
    <row r="132" spans="1:7" ht="29">
      <c r="A132" s="681" t="s">
        <v>1861</v>
      </c>
      <c r="B132" s="616" t="s">
        <v>1132</v>
      </c>
      <c r="C132" s="617" t="s">
        <v>445</v>
      </c>
      <c r="D132" s="767">
        <v>42</v>
      </c>
      <c r="E132" s="618"/>
      <c r="F132" s="768">
        <f t="shared" si="7"/>
        <v>0</v>
      </c>
      <c r="G132" s="819"/>
    </row>
    <row r="133" spans="1:7">
      <c r="A133" s="681"/>
      <c r="B133" s="674" t="s">
        <v>266</v>
      </c>
      <c r="C133" s="648"/>
      <c r="E133" s="618"/>
      <c r="F133" s="768">
        <f t="shared" si="7"/>
        <v>0</v>
      </c>
      <c r="G133" s="819"/>
    </row>
    <row r="134" spans="1:7">
      <c r="A134" s="681"/>
      <c r="B134" s="635" t="s">
        <v>685</v>
      </c>
      <c r="C134" s="648"/>
      <c r="E134" s="618"/>
      <c r="F134" s="768">
        <f t="shared" si="7"/>
        <v>0</v>
      </c>
      <c r="G134" s="819"/>
    </row>
    <row r="135" spans="1:7">
      <c r="A135" s="681" t="s">
        <v>1862</v>
      </c>
      <c r="B135" s="616" t="s">
        <v>1134</v>
      </c>
      <c r="C135" s="617" t="s">
        <v>441</v>
      </c>
      <c r="D135" s="767">
        <v>160</v>
      </c>
      <c r="E135" s="618"/>
      <c r="F135" s="768">
        <f t="shared" si="7"/>
        <v>0</v>
      </c>
      <c r="G135" s="819"/>
    </row>
    <row r="136" spans="1:7" ht="29">
      <c r="A136" s="681" t="s">
        <v>1863</v>
      </c>
      <c r="B136" s="616" t="s">
        <v>1136</v>
      </c>
      <c r="C136" s="617" t="s">
        <v>441</v>
      </c>
      <c r="D136" s="767">
        <v>160</v>
      </c>
      <c r="E136" s="618"/>
      <c r="F136" s="768">
        <f t="shared" si="7"/>
        <v>0</v>
      </c>
      <c r="G136" s="819"/>
    </row>
    <row r="137" spans="1:7">
      <c r="A137" s="681"/>
      <c r="B137" s="635" t="s">
        <v>1137</v>
      </c>
      <c r="C137" s="648"/>
      <c r="E137" s="618"/>
      <c r="F137" s="768">
        <f t="shared" si="7"/>
        <v>0</v>
      </c>
      <c r="G137" s="819"/>
    </row>
    <row r="138" spans="1:7" ht="43.5">
      <c r="A138" s="681" t="s">
        <v>1864</v>
      </c>
      <c r="B138" s="616" t="s">
        <v>1139</v>
      </c>
      <c r="C138" s="648" t="s">
        <v>441</v>
      </c>
      <c r="D138" s="767">
        <v>84</v>
      </c>
      <c r="E138" s="618"/>
      <c r="F138" s="768">
        <f t="shared" si="7"/>
        <v>0</v>
      </c>
      <c r="G138" s="819"/>
    </row>
    <row r="139" spans="1:7">
      <c r="A139" s="681"/>
      <c r="B139" s="635" t="s">
        <v>188</v>
      </c>
      <c r="C139" s="617"/>
      <c r="E139" s="618"/>
      <c r="F139" s="768">
        <f t="shared" si="7"/>
        <v>0</v>
      </c>
      <c r="G139" s="819"/>
    </row>
    <row r="140" spans="1:7" ht="29">
      <c r="A140" s="681"/>
      <c r="B140" s="674" t="s">
        <v>1140</v>
      </c>
      <c r="C140" s="681"/>
      <c r="E140" s="618"/>
      <c r="F140" s="768">
        <f t="shared" si="7"/>
        <v>0</v>
      </c>
      <c r="G140" s="819"/>
    </row>
    <row r="141" spans="1:7">
      <c r="A141" s="681" t="s">
        <v>1867</v>
      </c>
      <c r="B141" s="616" t="s">
        <v>191</v>
      </c>
      <c r="C141" s="617" t="s">
        <v>441</v>
      </c>
      <c r="D141" s="767">
        <f>D135+D136-D138</f>
        <v>236</v>
      </c>
      <c r="E141" s="618"/>
      <c r="F141" s="768">
        <f t="shared" si="7"/>
        <v>0</v>
      </c>
      <c r="G141" s="819"/>
    </row>
    <row r="142" spans="1:7" ht="58">
      <c r="A142" s="681"/>
      <c r="B142" s="649" t="s">
        <v>1525</v>
      </c>
      <c r="C142" s="681"/>
      <c r="E142" s="618"/>
      <c r="F142" s="768">
        <f t="shared" si="7"/>
        <v>0</v>
      </c>
      <c r="G142" s="819"/>
    </row>
    <row r="143" spans="1:7">
      <c r="A143" s="681" t="s">
        <v>1868</v>
      </c>
      <c r="B143" s="791" t="s">
        <v>192</v>
      </c>
      <c r="C143" s="617" t="s">
        <v>441</v>
      </c>
      <c r="D143" s="767">
        <f>D141</f>
        <v>236</v>
      </c>
      <c r="E143" s="618"/>
      <c r="F143" s="768">
        <f t="shared" si="7"/>
        <v>0</v>
      </c>
      <c r="G143" s="819"/>
    </row>
    <row r="144" spans="1:7">
      <c r="A144" s="681"/>
      <c r="B144" s="635" t="s">
        <v>1526</v>
      </c>
      <c r="C144" s="639"/>
      <c r="D144" s="787"/>
      <c r="E144" s="788"/>
      <c r="F144" s="789">
        <f>SUM(F121:F143)</f>
        <v>0</v>
      </c>
      <c r="G144" s="819"/>
    </row>
    <row r="145" spans="1:7" ht="15" customHeight="1">
      <c r="A145" s="780" t="s">
        <v>0</v>
      </c>
      <c r="B145" s="823" t="s">
        <v>1</v>
      </c>
      <c r="C145" s="780" t="s">
        <v>2</v>
      </c>
      <c r="D145" s="781" t="s">
        <v>426</v>
      </c>
      <c r="E145" s="782"/>
      <c r="F145" s="783" t="s">
        <v>472</v>
      </c>
      <c r="G145" s="819"/>
    </row>
    <row r="146" spans="1:7">
      <c r="A146" s="608">
        <v>7.8</v>
      </c>
      <c r="B146" s="608" t="s">
        <v>1553</v>
      </c>
      <c r="C146" s="610"/>
      <c r="D146" s="610"/>
      <c r="E146" s="610"/>
      <c r="F146" s="611"/>
      <c r="G146" s="819"/>
    </row>
    <row r="147" spans="1:7" ht="29">
      <c r="A147" s="610" t="s">
        <v>1869</v>
      </c>
      <c r="B147" s="610" t="s">
        <v>623</v>
      </c>
      <c r="C147" s="610" t="s">
        <v>33</v>
      </c>
      <c r="D147" s="610">
        <v>4.8</v>
      </c>
      <c r="E147" s="610"/>
      <c r="F147" s="611">
        <f>D147*E147</f>
        <v>0</v>
      </c>
      <c r="G147" s="819"/>
    </row>
    <row r="148" spans="1:7">
      <c r="A148" s="610" t="s">
        <v>1870</v>
      </c>
      <c r="B148" s="610" t="s">
        <v>624</v>
      </c>
      <c r="C148" s="610" t="s">
        <v>33</v>
      </c>
      <c r="D148" s="610">
        <f>0.8*15</f>
        <v>12</v>
      </c>
      <c r="E148" s="610"/>
      <c r="F148" s="611">
        <f t="shared" ref="F148:F167" si="8">D148*E148</f>
        <v>0</v>
      </c>
      <c r="G148" s="819"/>
    </row>
    <row r="149" spans="1:7" ht="29">
      <c r="A149" s="610" t="s">
        <v>1871</v>
      </c>
      <c r="B149" s="610" t="s">
        <v>625</v>
      </c>
      <c r="C149" s="610" t="s">
        <v>33</v>
      </c>
      <c r="D149" s="610">
        <f>D148</f>
        <v>12</v>
      </c>
      <c r="E149" s="610"/>
      <c r="F149" s="611">
        <f t="shared" si="8"/>
        <v>0</v>
      </c>
      <c r="G149" s="819"/>
    </row>
    <row r="150" spans="1:7">
      <c r="A150" s="610" t="s">
        <v>1872</v>
      </c>
      <c r="B150" s="610" t="s">
        <v>626</v>
      </c>
      <c r="C150" s="610" t="s">
        <v>33</v>
      </c>
      <c r="D150" s="610">
        <f>D149</f>
        <v>12</v>
      </c>
      <c r="E150" s="610"/>
      <c r="F150" s="611">
        <f t="shared" si="8"/>
        <v>0</v>
      </c>
      <c r="G150" s="819"/>
    </row>
    <row r="151" spans="1:7">
      <c r="A151" s="610" t="s">
        <v>1873</v>
      </c>
      <c r="B151" s="610" t="s">
        <v>627</v>
      </c>
      <c r="C151" s="610" t="s">
        <v>50</v>
      </c>
      <c r="D151" s="610">
        <v>50</v>
      </c>
      <c r="E151" s="610"/>
      <c r="F151" s="611">
        <f t="shared" si="8"/>
        <v>0</v>
      </c>
      <c r="G151" s="819"/>
    </row>
    <row r="152" spans="1:7">
      <c r="A152" s="610" t="s">
        <v>1874</v>
      </c>
      <c r="B152" s="610" t="s">
        <v>628</v>
      </c>
      <c r="C152" s="610" t="s">
        <v>33</v>
      </c>
      <c r="D152" s="610">
        <f>D150</f>
        <v>12</v>
      </c>
      <c r="E152" s="610"/>
      <c r="F152" s="611">
        <f t="shared" si="8"/>
        <v>0</v>
      </c>
      <c r="G152" s="819"/>
    </row>
    <row r="153" spans="1:7">
      <c r="A153" s="610" t="s">
        <v>1865</v>
      </c>
      <c r="B153" s="610" t="s">
        <v>629</v>
      </c>
      <c r="C153" s="610" t="s">
        <v>33</v>
      </c>
      <c r="D153" s="610">
        <f>D152</f>
        <v>12</v>
      </c>
      <c r="E153" s="610"/>
      <c r="F153" s="611">
        <f t="shared" si="8"/>
        <v>0</v>
      </c>
      <c r="G153" s="819"/>
    </row>
    <row r="154" spans="1:7" ht="29">
      <c r="A154" s="610" t="s">
        <v>1866</v>
      </c>
      <c r="B154" s="610" t="s">
        <v>630</v>
      </c>
      <c r="C154" s="610" t="s">
        <v>33</v>
      </c>
      <c r="D154" s="610">
        <f>20*0.8</f>
        <v>16</v>
      </c>
      <c r="E154" s="610"/>
      <c r="F154" s="611">
        <f t="shared" si="8"/>
        <v>0</v>
      </c>
      <c r="G154" s="819"/>
    </row>
    <row r="155" spans="1:7">
      <c r="A155" s="610" t="s">
        <v>1875</v>
      </c>
      <c r="B155" s="610" t="s">
        <v>631</v>
      </c>
      <c r="C155" s="610" t="s">
        <v>422</v>
      </c>
      <c r="D155" s="610">
        <v>25</v>
      </c>
      <c r="E155" s="610"/>
      <c r="F155" s="611">
        <f t="shared" si="8"/>
        <v>0</v>
      </c>
      <c r="G155" s="819"/>
    </row>
    <row r="156" spans="1:7" ht="21.65" customHeight="1">
      <c r="A156" s="610" t="s">
        <v>1876</v>
      </c>
      <c r="B156" s="610" t="s">
        <v>632</v>
      </c>
      <c r="C156" s="610" t="s">
        <v>633</v>
      </c>
      <c r="D156" s="610" t="s">
        <v>439</v>
      </c>
      <c r="E156" s="610"/>
      <c r="F156" s="611">
        <f>E156</f>
        <v>0</v>
      </c>
      <c r="G156" s="819"/>
    </row>
    <row r="157" spans="1:7" ht="16.25" customHeight="1">
      <c r="A157" s="610" t="s">
        <v>1877</v>
      </c>
      <c r="B157" s="610" t="s">
        <v>634</v>
      </c>
      <c r="C157" s="610"/>
      <c r="D157" s="610"/>
      <c r="E157" s="610"/>
      <c r="F157" s="611"/>
      <c r="G157" s="819"/>
    </row>
    <row r="158" spans="1:7" ht="21" customHeight="1">
      <c r="A158" s="610" t="s">
        <v>1878</v>
      </c>
      <c r="B158" s="610" t="s">
        <v>1143</v>
      </c>
      <c r="C158" s="610" t="s">
        <v>33</v>
      </c>
      <c r="D158" s="610">
        <f>D154</f>
        <v>16</v>
      </c>
      <c r="E158" s="610"/>
      <c r="F158" s="611">
        <f t="shared" si="8"/>
        <v>0</v>
      </c>
      <c r="G158" s="819"/>
    </row>
    <row r="159" spans="1:7">
      <c r="A159" s="608"/>
      <c r="B159" s="608" t="s">
        <v>635</v>
      </c>
      <c r="C159" s="610"/>
      <c r="D159" s="610"/>
      <c r="E159" s="610"/>
      <c r="F159" s="611"/>
      <c r="G159" s="819"/>
    </row>
    <row r="160" spans="1:7" ht="29">
      <c r="A160" s="610" t="s">
        <v>1879</v>
      </c>
      <c r="B160" s="610" t="s">
        <v>636</v>
      </c>
      <c r="C160" s="610" t="s">
        <v>33</v>
      </c>
      <c r="D160" s="610">
        <v>30</v>
      </c>
      <c r="E160" s="610"/>
      <c r="F160" s="611">
        <f t="shared" si="8"/>
        <v>0</v>
      </c>
      <c r="G160" s="819"/>
    </row>
    <row r="161" spans="1:7" ht="19.25" customHeight="1">
      <c r="A161" s="610" t="s">
        <v>1880</v>
      </c>
      <c r="B161" s="610" t="s">
        <v>637</v>
      </c>
      <c r="C161" s="610" t="s">
        <v>422</v>
      </c>
      <c r="D161" s="610">
        <v>15</v>
      </c>
      <c r="E161" s="610"/>
      <c r="F161" s="611">
        <f t="shared" si="8"/>
        <v>0</v>
      </c>
      <c r="G161" s="819"/>
    </row>
    <row r="162" spans="1:7" ht="19.75" customHeight="1">
      <c r="A162" s="610" t="s">
        <v>1881</v>
      </c>
      <c r="B162" s="610" t="s">
        <v>634</v>
      </c>
      <c r="C162" s="610" t="s">
        <v>33</v>
      </c>
      <c r="D162" s="610">
        <v>30</v>
      </c>
      <c r="E162" s="610"/>
      <c r="F162" s="611">
        <f t="shared" si="8"/>
        <v>0</v>
      </c>
      <c r="G162" s="819"/>
    </row>
    <row r="163" spans="1:7">
      <c r="A163" s="610"/>
      <c r="B163" s="610"/>
      <c r="C163" s="610"/>
      <c r="D163" s="610"/>
      <c r="E163" s="610"/>
      <c r="F163" s="611">
        <f t="shared" si="8"/>
        <v>0</v>
      </c>
      <c r="G163" s="819"/>
    </row>
    <row r="164" spans="1:7">
      <c r="A164" s="608"/>
      <c r="B164" s="608" t="s">
        <v>1144</v>
      </c>
      <c r="C164" s="610"/>
      <c r="D164" s="610"/>
      <c r="E164" s="610"/>
      <c r="F164" s="611">
        <f t="shared" si="8"/>
        <v>0</v>
      </c>
      <c r="G164" s="819"/>
    </row>
    <row r="165" spans="1:7">
      <c r="A165" s="610"/>
      <c r="B165" s="610" t="s">
        <v>1145</v>
      </c>
      <c r="C165" s="610"/>
      <c r="D165" s="610"/>
      <c r="E165" s="610"/>
      <c r="F165" s="611"/>
      <c r="G165" s="819"/>
    </row>
    <row r="166" spans="1:7" ht="101.5">
      <c r="A166" s="610" t="s">
        <v>1882</v>
      </c>
      <c r="B166" s="610" t="s">
        <v>1146</v>
      </c>
      <c r="C166" s="610" t="s">
        <v>387</v>
      </c>
      <c r="D166" s="610">
        <v>2</v>
      </c>
      <c r="E166" s="610"/>
      <c r="F166" s="611">
        <f t="shared" si="8"/>
        <v>0</v>
      </c>
      <c r="G166" s="819"/>
    </row>
    <row r="167" spans="1:7">
      <c r="A167" s="610"/>
      <c r="B167" s="610" t="s">
        <v>1147</v>
      </c>
      <c r="C167" s="610"/>
      <c r="D167" s="610"/>
      <c r="E167" s="610"/>
      <c r="F167" s="611">
        <f t="shared" si="8"/>
        <v>0</v>
      </c>
      <c r="G167" s="819"/>
    </row>
    <row r="168" spans="1:7">
      <c r="A168" s="610"/>
      <c r="B168" s="610"/>
      <c r="C168" s="610"/>
      <c r="D168" s="610"/>
      <c r="E168" s="610"/>
      <c r="F168" s="611"/>
      <c r="G168" s="819"/>
    </row>
    <row r="169" spans="1:7">
      <c r="A169" s="610"/>
      <c r="B169" s="610"/>
      <c r="C169" s="610"/>
      <c r="D169" s="610"/>
      <c r="E169" s="610"/>
      <c r="F169" s="611"/>
      <c r="G169" s="819"/>
    </row>
    <row r="170" spans="1:7">
      <c r="A170" s="610"/>
      <c r="B170" s="610"/>
      <c r="C170" s="610"/>
      <c r="D170" s="610"/>
      <c r="E170" s="610"/>
      <c r="F170" s="611"/>
      <c r="G170" s="819"/>
    </row>
    <row r="171" spans="1:7">
      <c r="A171" s="610"/>
      <c r="B171" s="610"/>
      <c r="C171" s="610"/>
      <c r="D171" s="610"/>
      <c r="E171" s="610"/>
      <c r="F171" s="611"/>
      <c r="G171" s="819"/>
    </row>
    <row r="172" spans="1:7">
      <c r="A172" s="610"/>
      <c r="B172" s="610"/>
      <c r="C172" s="610"/>
      <c r="D172" s="610"/>
      <c r="E172" s="610"/>
      <c r="F172" s="611"/>
      <c r="G172" s="819"/>
    </row>
    <row r="173" spans="1:7">
      <c r="A173" s="610"/>
      <c r="B173" s="610"/>
      <c r="C173" s="610"/>
      <c r="D173" s="610"/>
      <c r="E173" s="610"/>
      <c r="F173" s="611"/>
      <c r="G173" s="819"/>
    </row>
    <row r="174" spans="1:7">
      <c r="A174" s="610"/>
      <c r="B174" s="610"/>
      <c r="C174" s="610"/>
      <c r="D174" s="610"/>
      <c r="E174" s="610"/>
      <c r="F174" s="611"/>
      <c r="G174" s="819"/>
    </row>
    <row r="175" spans="1:7">
      <c r="A175" s="610"/>
      <c r="B175" s="610"/>
      <c r="C175" s="610"/>
      <c r="D175" s="610"/>
      <c r="E175" s="610"/>
      <c r="F175" s="611"/>
      <c r="G175" s="819"/>
    </row>
    <row r="176" spans="1:7">
      <c r="A176" s="610"/>
      <c r="B176" s="610"/>
      <c r="C176" s="610"/>
      <c r="D176" s="610"/>
      <c r="E176" s="610"/>
      <c r="F176" s="611"/>
      <c r="G176" s="819"/>
    </row>
    <row r="177" spans="1:7">
      <c r="A177" s="610"/>
      <c r="B177" s="610"/>
      <c r="C177" s="610"/>
      <c r="D177" s="610"/>
      <c r="E177" s="610"/>
      <c r="F177" s="611"/>
      <c r="G177" s="819"/>
    </row>
    <row r="178" spans="1:7" s="786" customFormat="1">
      <c r="A178" s="608"/>
      <c r="B178" s="608" t="s">
        <v>1524</v>
      </c>
      <c r="C178" s="608"/>
      <c r="D178" s="608"/>
      <c r="E178" s="608"/>
      <c r="F178" s="609">
        <f>SUM(F146:F168)</f>
        <v>0</v>
      </c>
      <c r="G178" s="822"/>
    </row>
    <row r="179" spans="1:7" s="786" customFormat="1">
      <c r="A179" s="608"/>
      <c r="B179" s="608"/>
      <c r="C179" s="608"/>
      <c r="D179" s="608"/>
      <c r="E179" s="608"/>
      <c r="F179" s="609"/>
      <c r="G179" s="822"/>
    </row>
    <row r="180" spans="1:7" ht="15" customHeight="1">
      <c r="A180" s="780" t="s">
        <v>0</v>
      </c>
      <c r="B180" s="823" t="s">
        <v>1</v>
      </c>
      <c r="C180" s="780" t="s">
        <v>2</v>
      </c>
      <c r="D180" s="781" t="s">
        <v>426</v>
      </c>
      <c r="E180" s="782"/>
      <c r="F180" s="783" t="s">
        <v>472</v>
      </c>
      <c r="G180" s="819"/>
    </row>
    <row r="181" spans="1:7">
      <c r="A181" s="681">
        <v>7.9</v>
      </c>
      <c r="B181" s="674" t="s">
        <v>1554</v>
      </c>
      <c r="C181" s="681"/>
      <c r="D181" s="617"/>
      <c r="E181" s="618"/>
      <c r="F181" s="675"/>
      <c r="G181" s="819"/>
    </row>
    <row r="182" spans="1:7">
      <c r="A182" s="681"/>
      <c r="B182" s="649" t="s">
        <v>323</v>
      </c>
      <c r="C182" s="681"/>
      <c r="D182" s="617"/>
      <c r="E182" s="618"/>
      <c r="F182" s="675"/>
      <c r="G182" s="819"/>
    </row>
    <row r="183" spans="1:7" ht="265.25" customHeight="1">
      <c r="A183" s="681"/>
      <c r="B183" s="824" t="s">
        <v>1148</v>
      </c>
      <c r="C183" s="681"/>
      <c r="D183" s="617"/>
      <c r="E183" s="618"/>
      <c r="F183" s="675"/>
      <c r="G183" s="819"/>
    </row>
    <row r="184" spans="1:7" ht="29">
      <c r="A184" s="681" t="s">
        <v>1494</v>
      </c>
      <c r="B184" s="616" t="s">
        <v>276</v>
      </c>
      <c r="C184" s="681" t="s">
        <v>25</v>
      </c>
      <c r="D184" s="617">
        <v>1</v>
      </c>
      <c r="E184" s="618"/>
      <c r="F184" s="675">
        <f>E184*D184</f>
        <v>0</v>
      </c>
      <c r="G184" s="819"/>
    </row>
    <row r="185" spans="1:7" s="1186" customFormat="1">
      <c r="A185" s="1091"/>
      <c r="B185" s="1086"/>
      <c r="C185" s="1091"/>
      <c r="D185" s="1075"/>
      <c r="E185" s="1076"/>
      <c r="F185" s="1077"/>
      <c r="G185" s="1185"/>
    </row>
    <row r="186" spans="1:7">
      <c r="A186" s="608">
        <v>7.11</v>
      </c>
      <c r="B186" s="608" t="s">
        <v>1149</v>
      </c>
      <c r="C186" s="610"/>
      <c r="D186" s="610"/>
      <c r="E186" s="610"/>
      <c r="F186" s="611"/>
      <c r="G186" s="819"/>
    </row>
    <row r="187" spans="1:7">
      <c r="A187" s="610"/>
      <c r="B187" s="610" t="s">
        <v>1150</v>
      </c>
      <c r="C187" s="610"/>
      <c r="D187" s="610"/>
      <c r="E187" s="610"/>
      <c r="F187" s="611"/>
      <c r="G187" s="819"/>
    </row>
    <row r="188" spans="1:7" ht="43.5">
      <c r="A188" s="610" t="s">
        <v>1495</v>
      </c>
      <c r="B188" s="610" t="s">
        <v>1151</v>
      </c>
      <c r="C188" s="610" t="s">
        <v>387</v>
      </c>
      <c r="D188" s="610">
        <v>2</v>
      </c>
      <c r="E188" s="610"/>
      <c r="F188" s="611">
        <f>D188*E188</f>
        <v>0</v>
      </c>
      <c r="G188" s="819"/>
    </row>
    <row r="189" spans="1:7" ht="43.5">
      <c r="A189" s="610" t="s">
        <v>1496</v>
      </c>
      <c r="B189" s="610" t="s">
        <v>1152</v>
      </c>
      <c r="C189" s="610" t="s">
        <v>387</v>
      </c>
      <c r="D189" s="610">
        <v>2</v>
      </c>
      <c r="E189" s="610"/>
      <c r="F189" s="611">
        <f>D189*E189</f>
        <v>0</v>
      </c>
      <c r="G189" s="819"/>
    </row>
    <row r="190" spans="1:7">
      <c r="A190" s="610"/>
      <c r="B190" s="610"/>
      <c r="C190" s="610"/>
      <c r="D190" s="610"/>
      <c r="E190" s="610"/>
      <c r="F190" s="611"/>
      <c r="G190" s="819"/>
    </row>
    <row r="191" spans="1:7">
      <c r="A191" s="610"/>
      <c r="B191" s="610"/>
      <c r="C191" s="610"/>
      <c r="D191" s="610"/>
      <c r="E191" s="610"/>
      <c r="F191" s="611"/>
      <c r="G191" s="819"/>
    </row>
    <row r="192" spans="1:7">
      <c r="A192" s="610"/>
      <c r="B192" s="610"/>
      <c r="C192" s="610"/>
      <c r="D192" s="610"/>
      <c r="E192" s="610"/>
      <c r="F192" s="611"/>
      <c r="G192" s="819"/>
    </row>
    <row r="193" spans="1:7">
      <c r="A193" s="610"/>
      <c r="B193" s="610"/>
      <c r="C193" s="610"/>
      <c r="D193" s="610"/>
      <c r="E193" s="610"/>
      <c r="F193" s="611"/>
      <c r="G193" s="819"/>
    </row>
    <row r="194" spans="1:7">
      <c r="A194" s="610"/>
      <c r="B194" s="610"/>
      <c r="C194" s="610"/>
      <c r="D194" s="610"/>
      <c r="E194" s="610"/>
      <c r="F194" s="611"/>
      <c r="G194" s="819"/>
    </row>
    <row r="195" spans="1:7">
      <c r="A195" s="610"/>
      <c r="B195" s="610"/>
      <c r="C195" s="610"/>
      <c r="D195" s="610"/>
      <c r="E195" s="610"/>
      <c r="F195" s="611"/>
      <c r="G195" s="819"/>
    </row>
    <row r="196" spans="1:7">
      <c r="A196" s="610"/>
      <c r="B196" s="610"/>
      <c r="C196" s="610"/>
      <c r="D196" s="610"/>
      <c r="E196" s="610"/>
      <c r="F196" s="611"/>
      <c r="G196" s="819"/>
    </row>
    <row r="197" spans="1:7">
      <c r="A197" s="610"/>
      <c r="B197" s="610"/>
      <c r="C197" s="610"/>
      <c r="D197" s="610"/>
      <c r="E197" s="610"/>
      <c r="F197" s="611"/>
      <c r="G197" s="819"/>
    </row>
    <row r="198" spans="1:7">
      <c r="A198" s="610"/>
      <c r="B198" s="610"/>
      <c r="C198" s="610"/>
      <c r="D198" s="610"/>
      <c r="E198" s="610"/>
      <c r="F198" s="611"/>
      <c r="G198" s="819"/>
    </row>
    <row r="199" spans="1:7">
      <c r="A199" s="610"/>
      <c r="B199" s="610"/>
      <c r="C199" s="610"/>
      <c r="D199" s="610"/>
      <c r="E199" s="610"/>
      <c r="F199" s="611"/>
      <c r="G199" s="819"/>
    </row>
    <row r="200" spans="1:7">
      <c r="A200" s="610"/>
      <c r="B200" s="610"/>
      <c r="C200" s="610"/>
      <c r="D200" s="610"/>
      <c r="E200" s="610"/>
      <c r="F200" s="611"/>
      <c r="G200" s="819"/>
    </row>
    <row r="201" spans="1:7">
      <c r="A201" s="610"/>
      <c r="B201" s="610"/>
      <c r="C201" s="610"/>
      <c r="D201" s="610"/>
      <c r="E201" s="610"/>
      <c r="F201" s="611"/>
      <c r="G201" s="819"/>
    </row>
    <row r="202" spans="1:7">
      <c r="A202" s="610"/>
      <c r="B202" s="610"/>
      <c r="C202" s="610"/>
      <c r="D202" s="610"/>
      <c r="E202" s="610"/>
      <c r="F202" s="611"/>
      <c r="G202" s="819"/>
    </row>
    <row r="203" spans="1:7">
      <c r="A203" s="610"/>
      <c r="B203" s="610"/>
      <c r="C203" s="610"/>
      <c r="D203" s="610"/>
      <c r="E203" s="610"/>
      <c r="F203" s="611"/>
      <c r="G203" s="819"/>
    </row>
    <row r="204" spans="1:7">
      <c r="A204" s="681"/>
      <c r="B204" s="635" t="s">
        <v>1507</v>
      </c>
      <c r="C204" s="639"/>
      <c r="D204" s="787"/>
      <c r="E204" s="788"/>
      <c r="F204" s="789">
        <f>SUM(F181:F191)</f>
        <v>0</v>
      </c>
      <c r="G204" s="819"/>
    </row>
    <row r="205" spans="1:7">
      <c r="A205" s="780" t="s">
        <v>0</v>
      </c>
      <c r="B205" s="823" t="s">
        <v>1</v>
      </c>
      <c r="C205" s="780" t="s">
        <v>2</v>
      </c>
      <c r="D205" s="781" t="s">
        <v>426</v>
      </c>
      <c r="E205" s="782"/>
      <c r="F205" s="783" t="s">
        <v>472</v>
      </c>
      <c r="G205" s="819"/>
    </row>
    <row r="206" spans="1:7">
      <c r="A206" s="681">
        <v>7.12</v>
      </c>
      <c r="B206" s="674" t="s">
        <v>1555</v>
      </c>
      <c r="C206" s="792"/>
      <c r="E206" s="793"/>
      <c r="F206" s="768">
        <f t="shared" ref="F206:F210" si="9">D206*E206</f>
        <v>0</v>
      </c>
      <c r="G206" s="819"/>
    </row>
    <row r="207" spans="1:7">
      <c r="A207" s="681"/>
      <c r="B207" s="649" t="s">
        <v>193</v>
      </c>
      <c r="C207" s="648"/>
      <c r="E207" s="618"/>
      <c r="F207" s="768">
        <f t="shared" si="9"/>
        <v>0</v>
      </c>
      <c r="G207" s="819"/>
    </row>
    <row r="208" spans="1:7" ht="58">
      <c r="A208" s="681"/>
      <c r="B208" s="649" t="s">
        <v>479</v>
      </c>
      <c r="C208" s="617"/>
      <c r="E208" s="618"/>
      <c r="F208" s="768">
        <f t="shared" si="9"/>
        <v>0</v>
      </c>
      <c r="G208" s="819"/>
    </row>
    <row r="209" spans="1:7">
      <c r="A209" s="681" t="s">
        <v>1497</v>
      </c>
      <c r="B209" s="616" t="s">
        <v>339</v>
      </c>
      <c r="C209" s="617"/>
      <c r="E209" s="618"/>
      <c r="F209" s="768">
        <f t="shared" si="9"/>
        <v>0</v>
      </c>
      <c r="G209" s="819"/>
    </row>
    <row r="210" spans="1:7">
      <c r="A210" s="681"/>
      <c r="B210" s="616" t="s">
        <v>340</v>
      </c>
      <c r="C210" s="617" t="s">
        <v>5</v>
      </c>
      <c r="D210" s="617">
        <v>2</v>
      </c>
      <c r="E210" s="618"/>
      <c r="F210" s="675">
        <f t="shared" si="9"/>
        <v>0</v>
      </c>
      <c r="G210" s="819"/>
    </row>
    <row r="211" spans="1:7" ht="29">
      <c r="A211" s="681" t="s">
        <v>1498</v>
      </c>
      <c r="B211" s="616" t="s">
        <v>1153</v>
      </c>
      <c r="C211" s="617" t="s">
        <v>5</v>
      </c>
      <c r="D211" s="617">
        <v>8</v>
      </c>
      <c r="E211" s="618"/>
      <c r="F211" s="675">
        <f>D211*E211</f>
        <v>0</v>
      </c>
      <c r="G211" s="819"/>
    </row>
    <row r="212" spans="1:7">
      <c r="A212" s="681" t="s">
        <v>1499</v>
      </c>
      <c r="B212" s="616" t="s">
        <v>197</v>
      </c>
      <c r="C212" s="617" t="s">
        <v>5</v>
      </c>
      <c r="D212" s="617">
        <v>4</v>
      </c>
      <c r="E212" s="618"/>
      <c r="F212" s="675">
        <f>D212*E212</f>
        <v>0</v>
      </c>
      <c r="G212" s="819"/>
    </row>
    <row r="213" spans="1:7">
      <c r="A213" s="681"/>
      <c r="B213" s="649" t="s">
        <v>198</v>
      </c>
      <c r="C213" s="617"/>
      <c r="D213" s="617"/>
      <c r="E213" s="618"/>
      <c r="F213" s="675"/>
      <c r="G213" s="819"/>
    </row>
    <row r="214" spans="1:7">
      <c r="A214" s="681" t="s">
        <v>1500</v>
      </c>
      <c r="B214" s="616" t="s">
        <v>269</v>
      </c>
      <c r="C214" s="617" t="s">
        <v>12</v>
      </c>
      <c r="D214" s="617">
        <v>2</v>
      </c>
      <c r="E214" s="618"/>
      <c r="F214" s="675">
        <f>D214*E214</f>
        <v>0</v>
      </c>
      <c r="G214" s="819"/>
    </row>
    <row r="215" spans="1:7">
      <c r="A215" s="681" t="s">
        <v>1501</v>
      </c>
      <c r="B215" s="616" t="s">
        <v>270</v>
      </c>
      <c r="C215" s="617" t="s">
        <v>12</v>
      </c>
      <c r="D215" s="617">
        <v>2</v>
      </c>
      <c r="E215" s="618"/>
      <c r="F215" s="675">
        <f t="shared" ref="F215:F218" si="10">D215*E215</f>
        <v>0</v>
      </c>
      <c r="G215" s="819"/>
    </row>
    <row r="216" spans="1:7">
      <c r="A216" s="681"/>
      <c r="B216" s="649" t="s">
        <v>199</v>
      </c>
      <c r="C216" s="648"/>
      <c r="E216" s="618"/>
      <c r="F216" s="768">
        <f t="shared" si="10"/>
        <v>0</v>
      </c>
      <c r="G216" s="819"/>
    </row>
    <row r="217" spans="1:7" ht="105" customHeight="1">
      <c r="A217" s="681"/>
      <c r="B217" s="616" t="s">
        <v>1154</v>
      </c>
      <c r="C217" s="617"/>
      <c r="E217" s="618"/>
      <c r="F217" s="768">
        <f t="shared" si="10"/>
        <v>0</v>
      </c>
      <c r="G217" s="819"/>
    </row>
    <row r="218" spans="1:7">
      <c r="A218" s="681"/>
      <c r="B218" s="616" t="s">
        <v>206</v>
      </c>
      <c r="C218" s="617"/>
      <c r="E218" s="618"/>
      <c r="F218" s="768">
        <f t="shared" si="10"/>
        <v>0</v>
      </c>
      <c r="G218" s="819"/>
    </row>
    <row r="219" spans="1:7">
      <c r="A219" s="681" t="s">
        <v>1502</v>
      </c>
      <c r="B219" s="616" t="s">
        <v>207</v>
      </c>
      <c r="C219" s="617" t="s">
        <v>12</v>
      </c>
      <c r="D219" s="617">
        <v>6</v>
      </c>
      <c r="E219" s="618"/>
      <c r="F219" s="675">
        <f>D219*E219</f>
        <v>0</v>
      </c>
      <c r="G219" s="819"/>
    </row>
    <row r="220" spans="1:7">
      <c r="A220" s="681"/>
      <c r="B220" s="649" t="s">
        <v>208</v>
      </c>
      <c r="C220" s="648"/>
      <c r="D220" s="617"/>
      <c r="E220" s="618"/>
      <c r="F220" s="675"/>
      <c r="G220" s="819"/>
    </row>
    <row r="221" spans="1:7" ht="87">
      <c r="A221" s="681"/>
      <c r="B221" s="649" t="s">
        <v>1155</v>
      </c>
      <c r="C221" s="617"/>
      <c r="D221" s="617"/>
      <c r="E221" s="618"/>
      <c r="F221" s="675"/>
      <c r="G221" s="819"/>
    </row>
    <row r="222" spans="1:7" ht="58">
      <c r="A222" s="681" t="s">
        <v>1503</v>
      </c>
      <c r="B222" s="616" t="s">
        <v>1156</v>
      </c>
      <c r="C222" s="617" t="s">
        <v>4</v>
      </c>
      <c r="D222" s="617">
        <v>55</v>
      </c>
      <c r="E222" s="618"/>
      <c r="F222" s="675">
        <f t="shared" ref="F222:F224" si="11">D222*E222</f>
        <v>0</v>
      </c>
      <c r="G222" s="819"/>
    </row>
    <row r="223" spans="1:7" ht="29">
      <c r="B223" s="616" t="s">
        <v>218</v>
      </c>
      <c r="C223" s="617"/>
      <c r="D223" s="617"/>
      <c r="E223" s="618"/>
      <c r="F223" s="675">
        <f t="shared" si="11"/>
        <v>0</v>
      </c>
      <c r="G223" s="819"/>
    </row>
    <row r="224" spans="1:7" ht="29">
      <c r="A224" s="681"/>
      <c r="B224" s="616" t="s">
        <v>219</v>
      </c>
      <c r="C224" s="617"/>
      <c r="D224" s="617"/>
      <c r="E224" s="618"/>
      <c r="F224" s="675">
        <f t="shared" si="11"/>
        <v>0</v>
      </c>
      <c r="G224" s="819"/>
    </row>
    <row r="225" spans="1:7">
      <c r="A225" s="681" t="s">
        <v>1504</v>
      </c>
      <c r="B225" s="616" t="s">
        <v>341</v>
      </c>
      <c r="C225" s="617" t="s">
        <v>5</v>
      </c>
      <c r="D225" s="617">
        <v>1</v>
      </c>
      <c r="E225" s="618"/>
      <c r="F225" s="675">
        <f>D225*E225</f>
        <v>0</v>
      </c>
      <c r="G225" s="819"/>
    </row>
    <row r="226" spans="1:7" ht="29">
      <c r="A226" s="681" t="s">
        <v>1505</v>
      </c>
      <c r="B226" s="616" t="s">
        <v>1527</v>
      </c>
      <c r="C226" s="617" t="s">
        <v>25</v>
      </c>
      <c r="D226" s="617">
        <v>1</v>
      </c>
      <c r="E226" s="618"/>
      <c r="F226" s="675">
        <f>D226*E226</f>
        <v>0</v>
      </c>
      <c r="G226" s="819"/>
    </row>
    <row r="227" spans="1:7">
      <c r="A227" s="763"/>
      <c r="B227" s="616"/>
      <c r="C227" s="763"/>
      <c r="D227" s="763"/>
      <c r="E227" s="763"/>
      <c r="F227" s="763"/>
      <c r="G227" s="819"/>
    </row>
    <row r="228" spans="1:7">
      <c r="A228" s="681"/>
      <c r="B228" s="616"/>
      <c r="C228" s="617"/>
      <c r="D228" s="617"/>
      <c r="E228" s="618"/>
      <c r="F228" s="675"/>
      <c r="G228" s="819"/>
    </row>
    <row r="229" spans="1:7">
      <c r="A229" s="681"/>
      <c r="B229" s="794"/>
      <c r="C229" s="617"/>
      <c r="D229" s="617"/>
      <c r="E229" s="618"/>
      <c r="F229" s="675"/>
      <c r="G229" s="819"/>
    </row>
    <row r="230" spans="1:7" s="786" customFormat="1">
      <c r="A230" s="690"/>
      <c r="B230" s="795" t="s">
        <v>1529</v>
      </c>
      <c r="C230" s="715"/>
      <c r="D230" s="715"/>
      <c r="E230" s="688"/>
      <c r="F230" s="789">
        <f>SUM(F207:F229)</f>
        <v>0</v>
      </c>
      <c r="G230" s="822"/>
    </row>
    <row r="231" spans="1:7" ht="15" customHeight="1">
      <c r="A231" s="780" t="s">
        <v>0</v>
      </c>
      <c r="B231" s="823" t="s">
        <v>1</v>
      </c>
      <c r="C231" s="780" t="s">
        <v>2</v>
      </c>
      <c r="D231" s="781" t="s">
        <v>426</v>
      </c>
      <c r="E231" s="782"/>
      <c r="F231" s="783" t="s">
        <v>472</v>
      </c>
      <c r="G231" s="819"/>
    </row>
    <row r="232" spans="1:7" s="764" customFormat="1" ht="15" customHeight="1">
      <c r="A232" s="780"/>
      <c r="B232" s="823" t="s">
        <v>1530</v>
      </c>
      <c r="C232" s="780"/>
      <c r="D232" s="781"/>
      <c r="E232" s="782"/>
      <c r="F232" s="783">
        <f>F230</f>
        <v>0</v>
      </c>
    </row>
    <row r="233" spans="1:7" s="764" customFormat="1">
      <c r="A233" s="690">
        <v>7.13</v>
      </c>
      <c r="B233" s="674" t="s">
        <v>1883</v>
      </c>
      <c r="C233" s="648"/>
      <c r="D233" s="617"/>
      <c r="E233" s="618"/>
      <c r="F233" s="675"/>
    </row>
    <row r="234" spans="1:7">
      <c r="A234" s="681"/>
      <c r="B234" s="796" t="s">
        <v>351</v>
      </c>
      <c r="C234" s="617"/>
      <c r="D234" s="617"/>
      <c r="E234" s="618"/>
      <c r="F234" s="675"/>
      <c r="G234" s="819"/>
    </row>
    <row r="235" spans="1:7" ht="43.5">
      <c r="A235" s="681"/>
      <c r="B235" s="649" t="s">
        <v>1218</v>
      </c>
      <c r="C235" s="617"/>
      <c r="D235" s="617"/>
      <c r="E235" s="618"/>
      <c r="F235" s="675"/>
      <c r="G235" s="819"/>
    </row>
    <row r="236" spans="1:7" ht="130.5">
      <c r="A236" s="681" t="s">
        <v>1884</v>
      </c>
      <c r="B236" s="616" t="s">
        <v>1219</v>
      </c>
      <c r="C236" s="617" t="s">
        <v>5</v>
      </c>
      <c r="D236" s="617">
        <v>3</v>
      </c>
      <c r="E236" s="618"/>
      <c r="F236" s="675">
        <f>D236*E236</f>
        <v>0</v>
      </c>
      <c r="G236" s="819"/>
    </row>
    <row r="237" spans="1:7" s="786" customFormat="1">
      <c r="A237" s="690"/>
      <c r="B237" s="635"/>
      <c r="F237" s="797"/>
      <c r="G237" s="822"/>
    </row>
    <row r="238" spans="1:7" s="786" customFormat="1">
      <c r="A238" s="690"/>
      <c r="B238" s="828" t="s">
        <v>1528</v>
      </c>
      <c r="C238" s="715"/>
      <c r="D238" s="715"/>
      <c r="E238" s="688"/>
      <c r="F238" s="789">
        <f>SUM(F232:F237)</f>
        <v>0</v>
      </c>
      <c r="G238" s="822"/>
    </row>
    <row r="239" spans="1:7">
      <c r="A239" s="681"/>
      <c r="B239" s="794"/>
      <c r="C239" s="617"/>
      <c r="D239" s="617"/>
      <c r="E239" s="618"/>
      <c r="F239" s="675"/>
      <c r="G239" s="819"/>
    </row>
    <row r="240" spans="1:7" s="786" customFormat="1">
      <c r="A240" s="690"/>
      <c r="B240" s="795" t="s">
        <v>1931</v>
      </c>
      <c r="C240" s="715"/>
      <c r="D240" s="715"/>
      <c r="E240" s="688"/>
      <c r="F240" s="789"/>
      <c r="G240" s="822"/>
    </row>
    <row r="241" spans="1:7">
      <c r="A241" s="681"/>
      <c r="B241" s="616" t="str">
        <f>B4</f>
        <v>ELEMENT NO. 1 : SUB-STRUCTURES (all provisional)</v>
      </c>
      <c r="C241" s="617"/>
      <c r="D241" s="617"/>
      <c r="E241" s="618"/>
      <c r="F241" s="675">
        <f>F46</f>
        <v>0</v>
      </c>
      <c r="G241" s="819"/>
    </row>
    <row r="242" spans="1:7">
      <c r="A242" s="681"/>
      <c r="B242" s="616"/>
      <c r="C242" s="617"/>
      <c r="D242" s="617"/>
      <c r="E242" s="618"/>
      <c r="F242" s="675"/>
      <c r="G242" s="819"/>
    </row>
    <row r="243" spans="1:7">
      <c r="A243" s="681"/>
      <c r="B243" s="616" t="str">
        <f>B49</f>
        <v>ELEMENT NO. 2: REINFORCED CONCRETE</v>
      </c>
      <c r="C243" s="617"/>
      <c r="D243" s="617"/>
      <c r="E243" s="618"/>
      <c r="F243" s="675">
        <f>F57</f>
        <v>0</v>
      </c>
      <c r="G243" s="819"/>
    </row>
    <row r="244" spans="1:7">
      <c r="A244" s="681"/>
      <c r="B244" s="616"/>
      <c r="C244" s="617"/>
      <c r="D244" s="617"/>
      <c r="E244" s="618"/>
      <c r="F244" s="675"/>
      <c r="G244" s="819"/>
    </row>
    <row r="245" spans="1:7">
      <c r="A245" s="681"/>
      <c r="B245" s="616" t="str">
        <f>B59</f>
        <v>ELEMENT NO. 3: WALLING</v>
      </c>
      <c r="C245" s="617"/>
      <c r="D245" s="617"/>
      <c r="E245" s="618"/>
      <c r="F245" s="675">
        <f>F63</f>
        <v>0</v>
      </c>
      <c r="G245" s="819"/>
    </row>
    <row r="246" spans="1:7">
      <c r="A246" s="681"/>
      <c r="B246" s="635"/>
      <c r="C246" s="639"/>
      <c r="D246" s="617"/>
      <c r="E246" s="618"/>
      <c r="F246" s="763"/>
      <c r="G246" s="819"/>
    </row>
    <row r="247" spans="1:7">
      <c r="A247" s="681"/>
      <c r="B247" s="616" t="str">
        <f>B77</f>
        <v>ELEMENT NO. 4 :  ROOFING</v>
      </c>
      <c r="C247" s="648"/>
      <c r="D247" s="617"/>
      <c r="E247" s="618"/>
      <c r="F247" s="675">
        <f>F100</f>
        <v>0</v>
      </c>
      <c r="G247" s="819"/>
    </row>
    <row r="248" spans="1:7">
      <c r="A248" s="681"/>
      <c r="B248" s="635"/>
      <c r="C248" s="639"/>
      <c r="D248" s="617"/>
      <c r="E248" s="618"/>
      <c r="F248" s="789"/>
      <c r="G248" s="819"/>
    </row>
    <row r="249" spans="1:7">
      <c r="A249" s="681"/>
      <c r="B249" s="616" t="str">
        <f>B102</f>
        <v>ELEMENT NO. 5 : WINDOWS</v>
      </c>
      <c r="C249" s="648"/>
      <c r="D249" s="617"/>
      <c r="E249" s="618"/>
      <c r="F249" s="675">
        <f>F109</f>
        <v>0</v>
      </c>
      <c r="G249" s="819"/>
    </row>
    <row r="250" spans="1:7">
      <c r="A250" s="681"/>
      <c r="B250" s="616"/>
      <c r="C250" s="648"/>
      <c r="D250" s="617"/>
      <c r="E250" s="618"/>
      <c r="F250" s="675"/>
      <c r="G250" s="819"/>
    </row>
    <row r="251" spans="1:7">
      <c r="A251" s="681"/>
      <c r="B251" s="616" t="str">
        <f>B114</f>
        <v>ELEMENT NO. 6: DOORS</v>
      </c>
      <c r="C251" s="648"/>
      <c r="D251" s="617"/>
      <c r="E251" s="618"/>
      <c r="F251" s="675">
        <f>F119</f>
        <v>0</v>
      </c>
      <c r="G251" s="819"/>
    </row>
    <row r="252" spans="1:7">
      <c r="A252" s="681"/>
      <c r="B252" s="616"/>
      <c r="C252" s="648"/>
      <c r="D252" s="617"/>
      <c r="E252" s="618"/>
      <c r="F252" s="675"/>
      <c r="G252" s="819"/>
    </row>
    <row r="253" spans="1:7">
      <c r="A253" s="681"/>
      <c r="B253" s="616" t="str">
        <f>B121</f>
        <v>ELEMENT NO. 7 :  FINISHES</v>
      </c>
      <c r="C253" s="648"/>
      <c r="D253" s="617"/>
      <c r="E253" s="618"/>
      <c r="F253" s="675">
        <f>F144</f>
        <v>0</v>
      </c>
      <c r="G253" s="819"/>
    </row>
    <row r="254" spans="1:7">
      <c r="A254" s="681"/>
      <c r="B254" s="616"/>
      <c r="C254" s="648"/>
      <c r="D254" s="617"/>
      <c r="E254" s="618"/>
      <c r="F254" s="675"/>
      <c r="G254" s="819"/>
    </row>
    <row r="255" spans="1:7">
      <c r="A255" s="681"/>
      <c r="B255" s="616" t="str">
        <f>B146</f>
        <v>BILL NO. 8 SHLEVES AND WORKTOPS</v>
      </c>
      <c r="C255" s="648"/>
      <c r="D255" s="617"/>
      <c r="E255" s="618"/>
      <c r="F255" s="675">
        <f>F178</f>
        <v>0</v>
      </c>
      <c r="G255" s="819"/>
    </row>
    <row r="256" spans="1:7">
      <c r="A256" s="681"/>
      <c r="B256" s="616"/>
      <c r="C256" s="648"/>
      <c r="D256" s="617"/>
      <c r="E256" s="618"/>
      <c r="F256" s="675"/>
      <c r="G256" s="819"/>
    </row>
    <row r="257" spans="1:7">
      <c r="A257" s="681"/>
      <c r="B257" s="616" t="str">
        <f>B181</f>
        <v>ELEMENT NO. 9 : PLUMBING INSTALLATIONS</v>
      </c>
      <c r="C257" s="648"/>
      <c r="D257" s="617"/>
      <c r="E257" s="618"/>
      <c r="F257" s="675">
        <f>F204</f>
        <v>0</v>
      </c>
      <c r="G257" s="819"/>
    </row>
    <row r="258" spans="1:7">
      <c r="A258" s="681"/>
      <c r="B258" s="616"/>
      <c r="C258" s="648"/>
      <c r="D258" s="617"/>
      <c r="E258" s="618"/>
      <c r="F258" s="675"/>
      <c r="G258" s="819"/>
    </row>
    <row r="259" spans="1:7">
      <c r="A259" s="681"/>
      <c r="B259" s="616" t="str">
        <f>B206</f>
        <v>ELEMENT NO. 10 : ELECTRICAL INSTALLATIONS</v>
      </c>
      <c r="C259" s="648"/>
      <c r="D259" s="617"/>
      <c r="E259" s="618"/>
      <c r="F259" s="675">
        <f>F238</f>
        <v>0</v>
      </c>
      <c r="G259" s="819"/>
    </row>
    <row r="260" spans="1:7">
      <c r="A260" s="681"/>
      <c r="B260" s="616"/>
      <c r="C260" s="648"/>
      <c r="D260" s="617"/>
      <c r="E260" s="618"/>
      <c r="F260" s="675"/>
      <c r="G260" s="819"/>
    </row>
    <row r="261" spans="1:7" s="786" customFormat="1">
      <c r="A261" s="690"/>
      <c r="B261" s="635" t="s">
        <v>587</v>
      </c>
      <c r="C261" s="639"/>
      <c r="D261" s="715"/>
      <c r="E261" s="688"/>
      <c r="F261" s="789">
        <f>SUM(F241:F260)</f>
        <v>0</v>
      </c>
      <c r="G261" s="967"/>
    </row>
    <row r="262" spans="1:7">
      <c r="A262" s="681"/>
      <c r="B262" s="635"/>
      <c r="C262" s="639"/>
      <c r="D262" s="617"/>
      <c r="E262" s="618"/>
      <c r="F262" s="789"/>
      <c r="G262" s="819"/>
    </row>
    <row r="263" spans="1:7">
      <c r="A263" s="681"/>
      <c r="B263" s="635"/>
      <c r="C263" s="639"/>
      <c r="D263" s="617"/>
      <c r="E263" s="618"/>
      <c r="F263" s="789"/>
      <c r="G263" s="819"/>
    </row>
    <row r="264" spans="1:7">
      <c r="A264" s="681"/>
      <c r="B264" s="635"/>
      <c r="C264" s="639"/>
      <c r="D264" s="617"/>
      <c r="E264" s="618"/>
      <c r="F264" s="789"/>
      <c r="G264" s="819"/>
    </row>
    <row r="265" spans="1:7">
      <c r="A265" s="681"/>
      <c r="B265" s="635" t="s">
        <v>790</v>
      </c>
      <c r="C265" s="639"/>
      <c r="D265" s="617"/>
      <c r="E265" s="618"/>
      <c r="F265" s="789">
        <f>SUM(F232:F245)</f>
        <v>0</v>
      </c>
      <c r="G265" s="819"/>
    </row>
    <row r="266" spans="1:7">
      <c r="A266" s="681"/>
      <c r="B266" s="635"/>
      <c r="C266" s="639"/>
      <c r="D266" s="617"/>
      <c r="E266" s="618"/>
      <c r="F266" s="789"/>
      <c r="G266" s="819"/>
    </row>
  </sheetData>
  <pageMargins left="0.7" right="0.7" top="0.75" bottom="0.75" header="0.3" footer="0.3"/>
  <pageSetup scale="99" orientation="portrait" r:id="rId1"/>
  <rowBreaks count="2" manualBreakCount="2">
    <brk id="112" max="5" man="1"/>
    <brk id="14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16</vt:i4>
      </vt:variant>
    </vt:vector>
  </HeadingPairs>
  <TitlesOfParts>
    <vt:vector size="37" baseType="lpstr">
      <vt:lpstr>1 Preliminaries</vt:lpstr>
      <vt:lpstr>MAIN BLOCK</vt:lpstr>
      <vt:lpstr>2. 2No. Vocational Training</vt:lpstr>
      <vt:lpstr>3. Counseling &amp; Prayer Hall</vt:lpstr>
      <vt:lpstr>4 Library and Literacy Centre</vt:lpstr>
      <vt:lpstr>Sheet1</vt:lpstr>
      <vt:lpstr>5 IOM OFFICES</vt:lpstr>
      <vt:lpstr>6 Medical Exam and Partners </vt:lpstr>
      <vt:lpstr>7 Kitchen</vt:lpstr>
      <vt:lpstr>8 DINING</vt:lpstr>
      <vt:lpstr>9 4No. Watch Towers </vt:lpstr>
      <vt:lpstr>10. Septic Tank</vt:lpstr>
      <vt:lpstr>11. Staff Toilets</vt:lpstr>
      <vt:lpstr>13. Security Fence</vt:lpstr>
      <vt:lpstr>14 External Works</vt:lpstr>
      <vt:lpstr>15 WATER TANK  TOWER</vt:lpstr>
      <vt:lpstr>16 STREET LIGHTS</vt:lpstr>
      <vt:lpstr>17 ACCOMMODATION</vt:lpstr>
      <vt:lpstr>19 Security house</vt:lpstr>
      <vt:lpstr>20 TOILET AND SHOWERS</vt:lpstr>
      <vt:lpstr>Grand summary</vt:lpstr>
      <vt:lpstr>'1 Preliminaries'!Print_Area</vt:lpstr>
      <vt:lpstr>'11. Staff Toilets'!Print_Area</vt:lpstr>
      <vt:lpstr>'13. Security Fence'!Print_Area</vt:lpstr>
      <vt:lpstr>'14 External Works'!Print_Area</vt:lpstr>
      <vt:lpstr>'15 WATER TANK  TOWER'!Print_Area</vt:lpstr>
      <vt:lpstr>'17 ACCOMMODATION'!Print_Area</vt:lpstr>
      <vt:lpstr>'19 Security house'!Print_Area</vt:lpstr>
      <vt:lpstr>'2. 2No. Vocational Training'!Print_Area</vt:lpstr>
      <vt:lpstr>'20 TOILET AND SHOWERS'!Print_Area</vt:lpstr>
      <vt:lpstr>'3. Counseling &amp; Prayer Hall'!Print_Area</vt:lpstr>
      <vt:lpstr>'4 Library and Literacy Centre'!Print_Area</vt:lpstr>
      <vt:lpstr>'5 IOM OFFICES'!Print_Area</vt:lpstr>
      <vt:lpstr>'6 Medical Exam and Partners '!Print_Area</vt:lpstr>
      <vt:lpstr>'7 Kitchen'!Print_Area</vt:lpstr>
      <vt:lpstr>'8 DINING'!Print_Area</vt:lpstr>
      <vt:lpstr>'Grand summary'!Print_Area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MOHAMED Abdi</cp:lastModifiedBy>
  <cp:lastPrinted>2018-09-23T04:09:12Z</cp:lastPrinted>
  <dcterms:created xsi:type="dcterms:W3CDTF">2014-10-07T00:35:15Z</dcterms:created>
  <dcterms:modified xsi:type="dcterms:W3CDTF">2019-02-21T06:28:50Z</dcterms:modified>
</cp:coreProperties>
</file>